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8\Dat_off\Dat_off\Olipan Johnathan\PUBLICATION_ 2015\AIR TRAFFIC DATA\2023\"/>
    </mc:Choice>
  </mc:AlternateContent>
  <bookViews>
    <workbookView xWindow="0" yWindow="0" windowWidth="28800" windowHeight="12435"/>
  </bookViews>
  <sheets>
    <sheet name="EIA-TRAFFIC" sheetId="1" r:id="rId1"/>
    <sheet name="Sheet1" sheetId="3" r:id="rId2"/>
    <sheet name="fy" sheetId="2" r:id="rId3"/>
  </sheets>
  <calcPr calcId="152511"/>
</workbook>
</file>

<file path=xl/calcChain.xml><?xml version="1.0" encoding="utf-8"?>
<calcChain xmlns="http://schemas.openxmlformats.org/spreadsheetml/2006/main">
  <c r="AE19" i="1" l="1"/>
  <c r="AF19" i="1"/>
  <c r="AG19" i="1"/>
  <c r="AH19" i="1"/>
  <c r="AD19" i="1"/>
  <c r="AH207" i="1" l="1"/>
  <c r="AH208" i="1"/>
  <c r="AH209" i="1"/>
  <c r="AH210" i="1"/>
  <c r="AH211" i="1"/>
  <c r="AH200" i="1"/>
  <c r="AH119" i="1"/>
  <c r="AH201" i="1" s="1"/>
  <c r="AH120" i="1"/>
  <c r="AH202" i="1" s="1"/>
  <c r="AH121" i="1"/>
  <c r="AH203" i="1" s="1"/>
  <c r="AH122" i="1"/>
  <c r="AH204" i="1" s="1"/>
  <c r="AH123" i="1"/>
  <c r="AH205" i="1" s="1"/>
  <c r="AH124" i="1"/>
  <c r="AH206" i="1" s="1"/>
  <c r="AH125" i="1"/>
  <c r="AH126" i="1"/>
  <c r="AH127" i="1"/>
  <c r="AH128" i="1"/>
  <c r="AH129" i="1"/>
  <c r="AH118" i="1"/>
  <c r="AH18" i="1"/>
  <c r="AH36" i="1"/>
  <c r="AH55" i="1"/>
  <c r="AH73" i="1"/>
  <c r="AH93" i="1"/>
  <c r="AH112" i="1"/>
  <c r="AH152" i="1"/>
  <c r="AH170" i="1"/>
  <c r="AH171" i="1" s="1"/>
  <c r="AH191" i="1"/>
  <c r="AH130" i="1" l="1"/>
  <c r="AH212" i="1" s="1"/>
  <c r="AG170" i="1"/>
  <c r="AG200" i="1" l="1"/>
  <c r="AG119" i="1"/>
  <c r="AG201" i="1" s="1"/>
  <c r="AG120" i="1"/>
  <c r="AG202" i="1" s="1"/>
  <c r="AG121" i="1"/>
  <c r="AG203" i="1" s="1"/>
  <c r="AG122" i="1"/>
  <c r="AG204" i="1" s="1"/>
  <c r="AG123" i="1"/>
  <c r="AG205" i="1" s="1"/>
  <c r="AG124" i="1"/>
  <c r="AG206" i="1" s="1"/>
  <c r="AG125" i="1"/>
  <c r="AG207" i="1" s="1"/>
  <c r="AG126" i="1"/>
  <c r="AG208" i="1" s="1"/>
  <c r="AG127" i="1"/>
  <c r="AG209" i="1" s="1"/>
  <c r="AG128" i="1"/>
  <c r="AG210" i="1" s="1"/>
  <c r="AG129" i="1"/>
  <c r="AG211" i="1" s="1"/>
  <c r="AG118" i="1"/>
  <c r="AG18" i="1"/>
  <c r="AG36" i="1"/>
  <c r="AG55" i="1"/>
  <c r="AG73" i="1"/>
  <c r="AG93" i="1"/>
  <c r="AG112" i="1"/>
  <c r="AG152" i="1"/>
  <c r="AG171" i="1"/>
  <c r="AG191" i="1"/>
  <c r="AG130" i="1" l="1"/>
  <c r="AG131" i="1" s="1"/>
  <c r="AG212" i="1"/>
  <c r="AE131" i="1" l="1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F191" i="1" l="1"/>
  <c r="AF170" i="1"/>
  <c r="AF152" i="1"/>
  <c r="AF119" i="1"/>
  <c r="AF201" i="1" s="1"/>
  <c r="AF120" i="1"/>
  <c r="AF202" i="1" s="1"/>
  <c r="AF121" i="1"/>
  <c r="AF203" i="1" s="1"/>
  <c r="AF122" i="1"/>
  <c r="AF204" i="1" s="1"/>
  <c r="AF123" i="1"/>
  <c r="AF205" i="1" s="1"/>
  <c r="AF124" i="1"/>
  <c r="AF206" i="1" s="1"/>
  <c r="AF125" i="1"/>
  <c r="AF207" i="1" s="1"/>
  <c r="AF126" i="1"/>
  <c r="AF208" i="1" s="1"/>
  <c r="AF127" i="1"/>
  <c r="AF209" i="1" s="1"/>
  <c r="AF128" i="1"/>
  <c r="AF210" i="1" s="1"/>
  <c r="AF129" i="1"/>
  <c r="AF211" i="1" s="1"/>
  <c r="AF118" i="1"/>
  <c r="AF200" i="1" s="1"/>
  <c r="AF112" i="1"/>
  <c r="AF93" i="1"/>
  <c r="AF73" i="1"/>
  <c r="AF55" i="1"/>
  <c r="AF36" i="1"/>
  <c r="AF18" i="1"/>
  <c r="AF130" i="1" l="1"/>
  <c r="AE36" i="1"/>
  <c r="AF212" i="1" l="1"/>
  <c r="AF131" i="1"/>
  <c r="AE152" i="1"/>
  <c r="AE73" i="1"/>
  <c r="AE18" i="1"/>
  <c r="AE55" i="1"/>
  <c r="AE191" i="1"/>
  <c r="AE170" i="1"/>
  <c r="AF171" i="1" s="1"/>
  <c r="AE119" i="1" l="1"/>
  <c r="AE201" i="1" s="1"/>
  <c r="AE120" i="1"/>
  <c r="AE202" i="1" s="1"/>
  <c r="AE121" i="1"/>
  <c r="AE203" i="1" s="1"/>
  <c r="AE122" i="1"/>
  <c r="AE204" i="1" s="1"/>
  <c r="AE123" i="1"/>
  <c r="AE205" i="1" s="1"/>
  <c r="AE124" i="1"/>
  <c r="AE125" i="1"/>
  <c r="AE207" i="1" s="1"/>
  <c r="AE126" i="1"/>
  <c r="AE208" i="1" s="1"/>
  <c r="AE127" i="1"/>
  <c r="AE209" i="1" s="1"/>
  <c r="AE128" i="1"/>
  <c r="AE210" i="1" s="1"/>
  <c r="AE129" i="1"/>
  <c r="AE211" i="1" s="1"/>
  <c r="AE118" i="1"/>
  <c r="AE200" i="1" s="1"/>
  <c r="AE112" i="1"/>
  <c r="AE93" i="1"/>
  <c r="AE206" i="1" l="1"/>
  <c r="AE130" i="1"/>
  <c r="AE212" i="1"/>
  <c r="AD191" i="1"/>
  <c r="AC191" i="1"/>
  <c r="AB191" i="1"/>
  <c r="AA191" i="1"/>
  <c r="Z191" i="1" l="1"/>
  <c r="Y191" i="1"/>
  <c r="X191" i="1"/>
  <c r="W191" i="1"/>
  <c r="V191" i="1"/>
  <c r="U191" i="1"/>
  <c r="T191" i="1"/>
  <c r="R191" i="1"/>
  <c r="Q191" i="1"/>
  <c r="P191" i="1"/>
  <c r="O191" i="1"/>
  <c r="N191" i="1"/>
  <c r="I191" i="1"/>
  <c r="H191" i="1"/>
  <c r="G191" i="1"/>
  <c r="F191" i="1"/>
  <c r="E191" i="1"/>
  <c r="D191" i="1"/>
  <c r="C191" i="1"/>
  <c r="B191" i="1"/>
  <c r="M190" i="1"/>
  <c r="J190" i="1"/>
  <c r="S189" i="1"/>
  <c r="S188" i="1"/>
  <c r="K188" i="1"/>
  <c r="S187" i="1"/>
  <c r="K187" i="1"/>
  <c r="L186" i="1"/>
  <c r="K186" i="1"/>
  <c r="L185" i="1"/>
  <c r="L184" i="1"/>
  <c r="K184" i="1"/>
  <c r="L183" i="1"/>
  <c r="K183" i="1"/>
  <c r="L182" i="1"/>
  <c r="K182" i="1"/>
  <c r="M181" i="1"/>
  <c r="L181" i="1"/>
  <c r="K181" i="1"/>
  <c r="M180" i="1"/>
  <c r="L180" i="1"/>
  <c r="K180" i="1"/>
  <c r="M179" i="1"/>
  <c r="L179" i="1"/>
  <c r="K179" i="1"/>
  <c r="M191" i="1" l="1"/>
  <c r="L191" i="1"/>
  <c r="K191" i="1"/>
  <c r="J191" i="1" s="1"/>
  <c r="S191" i="1"/>
  <c r="AD170" i="1"/>
  <c r="AE171" i="1" s="1"/>
  <c r="AC170" i="1"/>
  <c r="AB170" i="1"/>
  <c r="AA170" i="1"/>
  <c r="Z170" i="1"/>
  <c r="Y170" i="1"/>
  <c r="W170" i="1"/>
  <c r="V170" i="1"/>
  <c r="U170" i="1"/>
  <c r="T170" i="1"/>
  <c r="S170" i="1"/>
  <c r="R170" i="1"/>
  <c r="Q170" i="1"/>
  <c r="O170" i="1"/>
  <c r="I170" i="1"/>
  <c r="H170" i="1"/>
  <c r="H171" i="1" s="1"/>
  <c r="G170" i="1"/>
  <c r="F170" i="1"/>
  <c r="E170" i="1"/>
  <c r="D170" i="1"/>
  <c r="D171" i="1" s="1"/>
  <c r="C170" i="1"/>
  <c r="B170" i="1"/>
  <c r="N169" i="1"/>
  <c r="M169" i="1"/>
  <c r="J169" i="1"/>
  <c r="N168" i="1"/>
  <c r="J168" i="1"/>
  <c r="N167" i="1"/>
  <c r="K167" i="1"/>
  <c r="J167" i="1"/>
  <c r="N166" i="1"/>
  <c r="K166" i="1"/>
  <c r="J166" i="1"/>
  <c r="X165" i="1"/>
  <c r="N165" i="1"/>
  <c r="K165" i="1"/>
  <c r="J165" i="1"/>
  <c r="N164" i="1"/>
  <c r="L164" i="1"/>
  <c r="K164" i="1"/>
  <c r="J164" i="1"/>
  <c r="X163" i="1"/>
  <c r="N163" i="1"/>
  <c r="K163" i="1"/>
  <c r="P162" i="1"/>
  <c r="N162" i="1"/>
  <c r="L162" i="1"/>
  <c r="K162" i="1"/>
  <c r="X161" i="1"/>
  <c r="N161" i="1"/>
  <c r="M161" i="1"/>
  <c r="L161" i="1"/>
  <c r="K161" i="1"/>
  <c r="M160" i="1"/>
  <c r="L160" i="1"/>
  <c r="K160" i="1"/>
  <c r="N159" i="1"/>
  <c r="M159" i="1"/>
  <c r="L159" i="1"/>
  <c r="K159" i="1"/>
  <c r="N158" i="1"/>
  <c r="M158" i="1"/>
  <c r="L158" i="1"/>
  <c r="K158" i="1"/>
  <c r="AD152" i="1"/>
  <c r="AC152" i="1"/>
  <c r="AB152" i="1"/>
  <c r="AA152" i="1"/>
  <c r="Z152" i="1"/>
  <c r="Y152" i="1"/>
  <c r="W152" i="1"/>
  <c r="V152" i="1"/>
  <c r="U152" i="1"/>
  <c r="T152" i="1"/>
  <c r="S152" i="1"/>
  <c r="R152" i="1"/>
  <c r="Q152" i="1"/>
  <c r="O152" i="1"/>
  <c r="I152" i="1"/>
  <c r="H152" i="1"/>
  <c r="G152" i="1"/>
  <c r="F152" i="1"/>
  <c r="E152" i="1"/>
  <c r="D152" i="1"/>
  <c r="C152" i="1"/>
  <c r="B152" i="1"/>
  <c r="N151" i="1"/>
  <c r="M151" i="1"/>
  <c r="J151" i="1"/>
  <c r="N150" i="1"/>
  <c r="J150" i="1"/>
  <c r="N149" i="1"/>
  <c r="K149" i="1"/>
  <c r="J149" i="1"/>
  <c r="X148" i="1"/>
  <c r="N148" i="1"/>
  <c r="K148" i="1"/>
  <c r="J148" i="1"/>
  <c r="N147" i="1"/>
  <c r="K147" i="1"/>
  <c r="J147" i="1"/>
  <c r="X146" i="1"/>
  <c r="N146" i="1"/>
  <c r="L146" i="1"/>
  <c r="K146" i="1"/>
  <c r="J146" i="1"/>
  <c r="N145" i="1"/>
  <c r="X144" i="1"/>
  <c r="P144" i="1"/>
  <c r="N144" i="1"/>
  <c r="L144" i="1"/>
  <c r="K144" i="1"/>
  <c r="N143" i="1"/>
  <c r="M143" i="1"/>
  <c r="L143" i="1"/>
  <c r="K143" i="1"/>
  <c r="X142" i="1"/>
  <c r="M142" i="1"/>
  <c r="L142" i="1"/>
  <c r="N141" i="1"/>
  <c r="M141" i="1"/>
  <c r="L141" i="1"/>
  <c r="K141" i="1"/>
  <c r="N140" i="1"/>
  <c r="M140" i="1"/>
  <c r="L140" i="1"/>
  <c r="K140" i="1"/>
  <c r="I171" i="1" l="1"/>
  <c r="L152" i="1"/>
  <c r="M152" i="1"/>
  <c r="J152" i="1"/>
  <c r="L170" i="1"/>
  <c r="E171" i="1"/>
  <c r="K170" i="1"/>
  <c r="X152" i="1"/>
  <c r="M170" i="1"/>
  <c r="M171" i="1" s="1"/>
  <c r="L171" i="1" s="1"/>
  <c r="F171" i="1"/>
  <c r="T171" i="1"/>
  <c r="N152" i="1"/>
  <c r="N170" i="1"/>
  <c r="N171" i="1" s="1"/>
  <c r="X170" i="1"/>
  <c r="Y171" i="1" s="1"/>
  <c r="X171" i="1" s="1"/>
  <c r="J170" i="1"/>
  <c r="K171" i="1" s="1"/>
  <c r="J171" i="1" s="1"/>
  <c r="G171" i="1"/>
  <c r="Z171" i="1"/>
  <c r="AD171" i="1"/>
  <c r="AC171" i="1" s="1"/>
  <c r="AB171" i="1" s="1"/>
  <c r="AA171" i="1" s="1"/>
  <c r="R171" i="1"/>
  <c r="V171" i="1"/>
  <c r="P170" i="1"/>
  <c r="P171" i="1" s="1"/>
  <c r="U171" i="1"/>
  <c r="K152" i="1"/>
  <c r="P152" i="1"/>
  <c r="S171" i="1"/>
  <c r="W171" i="1"/>
  <c r="O171" i="1" l="1"/>
  <c r="Q171" i="1"/>
  <c r="AD129" i="1"/>
  <c r="AD211" i="1" s="1"/>
  <c r="AC129" i="1"/>
  <c r="AC211" i="1" s="1"/>
  <c r="AB129" i="1"/>
  <c r="AB211" i="1" s="1"/>
  <c r="AA129" i="1"/>
  <c r="AA211" i="1" s="1"/>
  <c r="Z129" i="1"/>
  <c r="Z211" i="1" s="1"/>
  <c r="Y129" i="1"/>
  <c r="Y211" i="1" s="1"/>
  <c r="X129" i="1"/>
  <c r="X211" i="1" s="1"/>
  <c r="W129" i="1"/>
  <c r="W211" i="1" s="1"/>
  <c r="V129" i="1"/>
  <c r="V211" i="1" s="1"/>
  <c r="U129" i="1"/>
  <c r="U211" i="1" s="1"/>
  <c r="T129" i="1"/>
  <c r="T211" i="1" s="1"/>
  <c r="S129" i="1"/>
  <c r="S211" i="1" s="1"/>
  <c r="R129" i="1"/>
  <c r="R211" i="1" s="1"/>
  <c r="Q129" i="1"/>
  <c r="Q211" i="1" s="1"/>
  <c r="P129" i="1"/>
  <c r="P211" i="1" s="1"/>
  <c r="O129" i="1"/>
  <c r="O211" i="1" s="1"/>
  <c r="L129" i="1"/>
  <c r="L211" i="1" s="1"/>
  <c r="K129" i="1"/>
  <c r="K211" i="1" s="1"/>
  <c r="I129" i="1"/>
  <c r="I211" i="1" s="1"/>
  <c r="H129" i="1"/>
  <c r="H211" i="1" s="1"/>
  <c r="G129" i="1"/>
  <c r="G211" i="1" s="1"/>
  <c r="F129" i="1"/>
  <c r="F211" i="1" s="1"/>
  <c r="E129" i="1"/>
  <c r="E211" i="1" s="1"/>
  <c r="D129" i="1"/>
  <c r="D211" i="1" s="1"/>
  <c r="C129" i="1"/>
  <c r="C211" i="1" s="1"/>
  <c r="B129" i="1"/>
  <c r="B211" i="1" s="1"/>
  <c r="AD128" i="1"/>
  <c r="AD210" i="1" s="1"/>
  <c r="AC128" i="1"/>
  <c r="AC210" i="1" s="1"/>
  <c r="AB128" i="1"/>
  <c r="AB210" i="1" s="1"/>
  <c r="AA128" i="1"/>
  <c r="AA210" i="1" s="1"/>
  <c r="Z128" i="1"/>
  <c r="Z210" i="1" s="1"/>
  <c r="Y128" i="1"/>
  <c r="Y210" i="1" s="1"/>
  <c r="X128" i="1"/>
  <c r="X210" i="1" s="1"/>
  <c r="W128" i="1"/>
  <c r="W210" i="1" s="1"/>
  <c r="V128" i="1"/>
  <c r="V210" i="1" s="1"/>
  <c r="U128" i="1"/>
  <c r="U210" i="1" s="1"/>
  <c r="T128" i="1"/>
  <c r="T210" i="1" s="1"/>
  <c r="S128" i="1"/>
  <c r="S210" i="1" s="1"/>
  <c r="R128" i="1"/>
  <c r="R210" i="1" s="1"/>
  <c r="Q128" i="1"/>
  <c r="Q210" i="1" s="1"/>
  <c r="P128" i="1"/>
  <c r="P210" i="1" s="1"/>
  <c r="O128" i="1"/>
  <c r="M128" i="1"/>
  <c r="K128" i="1"/>
  <c r="I128" i="1"/>
  <c r="I210" i="1" s="1"/>
  <c r="H128" i="1"/>
  <c r="H210" i="1" s="1"/>
  <c r="G128" i="1"/>
  <c r="G210" i="1" s="1"/>
  <c r="F128" i="1"/>
  <c r="F210" i="1" s="1"/>
  <c r="E128" i="1"/>
  <c r="E210" i="1" s="1"/>
  <c r="D128" i="1"/>
  <c r="D210" i="1" s="1"/>
  <c r="C128" i="1"/>
  <c r="C210" i="1" s="1"/>
  <c r="B128" i="1"/>
  <c r="B210" i="1" s="1"/>
  <c r="AD127" i="1"/>
  <c r="AD209" i="1" s="1"/>
  <c r="AC127" i="1"/>
  <c r="AC209" i="1" s="1"/>
  <c r="AB127" i="1"/>
  <c r="AB209" i="1" s="1"/>
  <c r="AA127" i="1"/>
  <c r="AA209" i="1" s="1"/>
  <c r="Z127" i="1"/>
  <c r="Z209" i="1" s="1"/>
  <c r="Y127" i="1"/>
  <c r="Y209" i="1" s="1"/>
  <c r="X127" i="1"/>
  <c r="X209" i="1" s="1"/>
  <c r="W127" i="1"/>
  <c r="W209" i="1" s="1"/>
  <c r="V127" i="1"/>
  <c r="V209" i="1" s="1"/>
  <c r="U127" i="1"/>
  <c r="U209" i="1" s="1"/>
  <c r="T127" i="1"/>
  <c r="T209" i="1" s="1"/>
  <c r="S127" i="1"/>
  <c r="S209" i="1" s="1"/>
  <c r="R127" i="1"/>
  <c r="R209" i="1" s="1"/>
  <c r="Q127" i="1"/>
  <c r="Q209" i="1" s="1"/>
  <c r="P127" i="1"/>
  <c r="P209" i="1" s="1"/>
  <c r="O127" i="1"/>
  <c r="O209" i="1" s="1"/>
  <c r="N127" i="1"/>
  <c r="N209" i="1" s="1"/>
  <c r="M127" i="1"/>
  <c r="I127" i="1"/>
  <c r="I209" i="1" s="1"/>
  <c r="H127" i="1"/>
  <c r="H209" i="1" s="1"/>
  <c r="G127" i="1"/>
  <c r="G209" i="1" s="1"/>
  <c r="F127" i="1"/>
  <c r="F209" i="1" s="1"/>
  <c r="E127" i="1"/>
  <c r="E209" i="1" s="1"/>
  <c r="D127" i="1"/>
  <c r="D209" i="1" s="1"/>
  <c r="C127" i="1"/>
  <c r="C209" i="1" s="1"/>
  <c r="B127" i="1"/>
  <c r="B209" i="1" s="1"/>
  <c r="AD126" i="1"/>
  <c r="AD208" i="1" s="1"/>
  <c r="AC126" i="1"/>
  <c r="AC208" i="1" s="1"/>
  <c r="AB126" i="1"/>
  <c r="AB208" i="1" s="1"/>
  <c r="AA126" i="1"/>
  <c r="AA208" i="1" s="1"/>
  <c r="Z126" i="1"/>
  <c r="Z208" i="1" s="1"/>
  <c r="Y126" i="1"/>
  <c r="Y208" i="1" s="1"/>
  <c r="X126" i="1"/>
  <c r="X208" i="1" s="1"/>
  <c r="W126" i="1"/>
  <c r="W208" i="1" s="1"/>
  <c r="V126" i="1"/>
  <c r="V208" i="1" s="1"/>
  <c r="U126" i="1"/>
  <c r="U208" i="1" s="1"/>
  <c r="T126" i="1"/>
  <c r="T208" i="1" s="1"/>
  <c r="S126" i="1"/>
  <c r="S208" i="1" s="1"/>
  <c r="R126" i="1"/>
  <c r="R208" i="1" s="1"/>
  <c r="Q126" i="1"/>
  <c r="Q208" i="1" s="1"/>
  <c r="P126" i="1"/>
  <c r="P208" i="1" s="1"/>
  <c r="O126" i="1"/>
  <c r="M126" i="1"/>
  <c r="M208" i="1" s="1"/>
  <c r="L126" i="1"/>
  <c r="I126" i="1"/>
  <c r="I208" i="1" s="1"/>
  <c r="H126" i="1"/>
  <c r="H208" i="1" s="1"/>
  <c r="G126" i="1"/>
  <c r="G208" i="1" s="1"/>
  <c r="F126" i="1"/>
  <c r="F208" i="1" s="1"/>
  <c r="E126" i="1"/>
  <c r="E208" i="1" s="1"/>
  <c r="D126" i="1"/>
  <c r="D208" i="1" s="1"/>
  <c r="C126" i="1"/>
  <c r="C208" i="1" s="1"/>
  <c r="B126" i="1"/>
  <c r="B208" i="1" s="1"/>
  <c r="AD125" i="1"/>
  <c r="AD207" i="1" s="1"/>
  <c r="AC125" i="1"/>
  <c r="AC207" i="1" s="1"/>
  <c r="AB125" i="1"/>
  <c r="AB207" i="1" s="1"/>
  <c r="AA125" i="1"/>
  <c r="AA207" i="1" s="1"/>
  <c r="Z125" i="1"/>
  <c r="Z207" i="1" s="1"/>
  <c r="Y125" i="1"/>
  <c r="Y207" i="1" s="1"/>
  <c r="X125" i="1"/>
  <c r="X207" i="1" s="1"/>
  <c r="W125" i="1"/>
  <c r="W207" i="1" s="1"/>
  <c r="V125" i="1"/>
  <c r="V207" i="1" s="1"/>
  <c r="U125" i="1"/>
  <c r="U207" i="1" s="1"/>
  <c r="T125" i="1"/>
  <c r="T207" i="1" s="1"/>
  <c r="S125" i="1"/>
  <c r="S207" i="1" s="1"/>
  <c r="R125" i="1"/>
  <c r="R207" i="1" s="1"/>
  <c r="Q125" i="1"/>
  <c r="Q207" i="1" s="1"/>
  <c r="P125" i="1"/>
  <c r="P207" i="1" s="1"/>
  <c r="O125" i="1"/>
  <c r="M125" i="1"/>
  <c r="I125" i="1"/>
  <c r="I207" i="1" s="1"/>
  <c r="H125" i="1"/>
  <c r="H207" i="1" s="1"/>
  <c r="G125" i="1"/>
  <c r="G207" i="1" s="1"/>
  <c r="F125" i="1"/>
  <c r="F207" i="1" s="1"/>
  <c r="E125" i="1"/>
  <c r="E207" i="1" s="1"/>
  <c r="D125" i="1"/>
  <c r="D207" i="1" s="1"/>
  <c r="C125" i="1"/>
  <c r="C207" i="1" s="1"/>
  <c r="B125" i="1"/>
  <c r="B207" i="1" s="1"/>
  <c r="L208" i="1" l="1"/>
  <c r="K210" i="1"/>
  <c r="M210" i="1"/>
  <c r="O207" i="1"/>
  <c r="O208" i="1"/>
  <c r="M209" i="1"/>
  <c r="O210" i="1"/>
  <c r="M207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M124" i="1"/>
  <c r="I124" i="1"/>
  <c r="H124" i="1"/>
  <c r="G124" i="1"/>
  <c r="F124" i="1"/>
  <c r="E124" i="1"/>
  <c r="D124" i="1"/>
  <c r="C124" i="1"/>
  <c r="B124" i="1"/>
  <c r="AD123" i="1"/>
  <c r="AD205" i="1" s="1"/>
  <c r="AC123" i="1"/>
  <c r="AC205" i="1" s="1"/>
  <c r="AB123" i="1"/>
  <c r="AB205" i="1" s="1"/>
  <c r="AA123" i="1"/>
  <c r="AA205" i="1" s="1"/>
  <c r="Z123" i="1"/>
  <c r="Z205" i="1" s="1"/>
  <c r="Y123" i="1"/>
  <c r="Y205" i="1" s="1"/>
  <c r="X123" i="1"/>
  <c r="X205" i="1" s="1"/>
  <c r="W123" i="1"/>
  <c r="W205" i="1" s="1"/>
  <c r="V123" i="1"/>
  <c r="V205" i="1" s="1"/>
  <c r="U123" i="1"/>
  <c r="U205" i="1" s="1"/>
  <c r="T123" i="1"/>
  <c r="T205" i="1" s="1"/>
  <c r="S123" i="1"/>
  <c r="S205" i="1" s="1"/>
  <c r="R123" i="1"/>
  <c r="R205" i="1" s="1"/>
  <c r="Q123" i="1"/>
  <c r="Q205" i="1" s="1"/>
  <c r="P123" i="1"/>
  <c r="P205" i="1" s="1"/>
  <c r="O123" i="1"/>
  <c r="L123" i="1"/>
  <c r="L205" i="1" s="1"/>
  <c r="J123" i="1"/>
  <c r="J205" i="1" s="1"/>
  <c r="I123" i="1"/>
  <c r="I205" i="1" s="1"/>
  <c r="H123" i="1"/>
  <c r="H205" i="1" s="1"/>
  <c r="G123" i="1"/>
  <c r="G205" i="1" s="1"/>
  <c r="F123" i="1"/>
  <c r="F205" i="1" s="1"/>
  <c r="E123" i="1"/>
  <c r="E205" i="1" s="1"/>
  <c r="D123" i="1"/>
  <c r="D205" i="1" s="1"/>
  <c r="C123" i="1"/>
  <c r="C205" i="1" s="1"/>
  <c r="B123" i="1"/>
  <c r="B205" i="1" s="1"/>
  <c r="AD122" i="1"/>
  <c r="AD204" i="1" s="1"/>
  <c r="AC122" i="1"/>
  <c r="AC204" i="1" s="1"/>
  <c r="AB122" i="1"/>
  <c r="AB204" i="1" s="1"/>
  <c r="AA122" i="1"/>
  <c r="AA204" i="1" s="1"/>
  <c r="Z122" i="1"/>
  <c r="Z204" i="1" s="1"/>
  <c r="Y122" i="1"/>
  <c r="Y204" i="1" s="1"/>
  <c r="X122" i="1"/>
  <c r="X204" i="1" s="1"/>
  <c r="W122" i="1"/>
  <c r="W204" i="1" s="1"/>
  <c r="V122" i="1"/>
  <c r="V204" i="1" s="1"/>
  <c r="U122" i="1"/>
  <c r="U204" i="1" s="1"/>
  <c r="T122" i="1"/>
  <c r="T204" i="1" s="1"/>
  <c r="S122" i="1"/>
  <c r="S204" i="1" s="1"/>
  <c r="R122" i="1"/>
  <c r="R204" i="1" s="1"/>
  <c r="Q122" i="1"/>
  <c r="Q204" i="1" s="1"/>
  <c r="P122" i="1"/>
  <c r="P204" i="1" s="1"/>
  <c r="O122" i="1"/>
  <c r="O204" i="1" s="1"/>
  <c r="N122" i="1"/>
  <c r="N204" i="1" s="1"/>
  <c r="M122" i="1"/>
  <c r="M204" i="1" s="1"/>
  <c r="J122" i="1"/>
  <c r="J204" i="1" s="1"/>
  <c r="I122" i="1"/>
  <c r="I204" i="1" s="1"/>
  <c r="H122" i="1"/>
  <c r="H204" i="1" s="1"/>
  <c r="G122" i="1"/>
  <c r="G204" i="1" s="1"/>
  <c r="F122" i="1"/>
  <c r="F204" i="1" s="1"/>
  <c r="E122" i="1"/>
  <c r="E204" i="1" s="1"/>
  <c r="D122" i="1"/>
  <c r="D204" i="1" s="1"/>
  <c r="C122" i="1"/>
  <c r="C204" i="1" s="1"/>
  <c r="B122" i="1"/>
  <c r="B204" i="1" s="1"/>
  <c r="AD121" i="1"/>
  <c r="AD203" i="1" s="1"/>
  <c r="AC121" i="1"/>
  <c r="AC203" i="1" s="1"/>
  <c r="AB121" i="1"/>
  <c r="AB203" i="1" s="1"/>
  <c r="AA121" i="1"/>
  <c r="AA203" i="1" s="1"/>
  <c r="Z121" i="1"/>
  <c r="Z203" i="1" s="1"/>
  <c r="Y121" i="1"/>
  <c r="Y203" i="1" s="1"/>
  <c r="X121" i="1"/>
  <c r="X203" i="1" s="1"/>
  <c r="W121" i="1"/>
  <c r="W203" i="1" s="1"/>
  <c r="V121" i="1"/>
  <c r="V203" i="1" s="1"/>
  <c r="U121" i="1"/>
  <c r="U203" i="1" s="1"/>
  <c r="T121" i="1"/>
  <c r="T203" i="1" s="1"/>
  <c r="S121" i="1"/>
  <c r="S203" i="1" s="1"/>
  <c r="R121" i="1"/>
  <c r="R203" i="1" s="1"/>
  <c r="Q121" i="1"/>
  <c r="Q203" i="1" s="1"/>
  <c r="P121" i="1"/>
  <c r="P203" i="1" s="1"/>
  <c r="O121" i="1"/>
  <c r="O203" i="1" s="1"/>
  <c r="N121" i="1"/>
  <c r="J121" i="1"/>
  <c r="J203" i="1" s="1"/>
  <c r="I121" i="1"/>
  <c r="I203" i="1" s="1"/>
  <c r="H121" i="1"/>
  <c r="H203" i="1" s="1"/>
  <c r="G121" i="1"/>
  <c r="G203" i="1" s="1"/>
  <c r="F121" i="1"/>
  <c r="F203" i="1" s="1"/>
  <c r="E121" i="1"/>
  <c r="E203" i="1" s="1"/>
  <c r="D121" i="1"/>
  <c r="D203" i="1" s="1"/>
  <c r="C121" i="1"/>
  <c r="C203" i="1" s="1"/>
  <c r="B121" i="1"/>
  <c r="B203" i="1" s="1"/>
  <c r="AD120" i="1"/>
  <c r="AD202" i="1" s="1"/>
  <c r="AC120" i="1"/>
  <c r="AC202" i="1" s="1"/>
  <c r="AB120" i="1"/>
  <c r="AB202" i="1" s="1"/>
  <c r="AA120" i="1"/>
  <c r="AA202" i="1" s="1"/>
  <c r="Z120" i="1"/>
  <c r="Z202" i="1" s="1"/>
  <c r="Y120" i="1"/>
  <c r="Y202" i="1" s="1"/>
  <c r="X120" i="1"/>
  <c r="X202" i="1" s="1"/>
  <c r="W120" i="1"/>
  <c r="W202" i="1" s="1"/>
  <c r="V120" i="1"/>
  <c r="V202" i="1" s="1"/>
  <c r="U120" i="1"/>
  <c r="U202" i="1" s="1"/>
  <c r="T120" i="1"/>
  <c r="T202" i="1" s="1"/>
  <c r="S120" i="1"/>
  <c r="S202" i="1" s="1"/>
  <c r="R120" i="1"/>
  <c r="R202" i="1" s="1"/>
  <c r="Q120" i="1"/>
  <c r="Q202" i="1" s="1"/>
  <c r="P120" i="1"/>
  <c r="P202" i="1" s="1"/>
  <c r="O120" i="1"/>
  <c r="O202" i="1" s="1"/>
  <c r="N120" i="1"/>
  <c r="J120" i="1"/>
  <c r="J202" i="1" s="1"/>
  <c r="I120" i="1"/>
  <c r="I202" i="1" s="1"/>
  <c r="H120" i="1"/>
  <c r="H202" i="1" s="1"/>
  <c r="G120" i="1"/>
  <c r="G202" i="1" s="1"/>
  <c r="F120" i="1"/>
  <c r="F202" i="1" s="1"/>
  <c r="E120" i="1"/>
  <c r="E202" i="1" s="1"/>
  <c r="D120" i="1"/>
  <c r="D202" i="1" s="1"/>
  <c r="C120" i="1"/>
  <c r="C202" i="1" s="1"/>
  <c r="B120" i="1"/>
  <c r="B202" i="1" s="1"/>
  <c r="AD119" i="1"/>
  <c r="AD201" i="1" s="1"/>
  <c r="AC119" i="1"/>
  <c r="AC201" i="1" s="1"/>
  <c r="C206" i="1" l="1"/>
  <c r="G206" i="1"/>
  <c r="S206" i="1"/>
  <c r="W206" i="1"/>
  <c r="AA206" i="1"/>
  <c r="D206" i="1"/>
  <c r="H206" i="1"/>
  <c r="P206" i="1"/>
  <c r="T206" i="1"/>
  <c r="X206" i="1"/>
  <c r="AB206" i="1"/>
  <c r="E206" i="1"/>
  <c r="I206" i="1"/>
  <c r="Q206" i="1"/>
  <c r="U206" i="1"/>
  <c r="Y206" i="1"/>
  <c r="AC206" i="1"/>
  <c r="B206" i="1"/>
  <c r="F206" i="1"/>
  <c r="R206" i="1"/>
  <c r="V206" i="1"/>
  <c r="Z206" i="1"/>
  <c r="AD206" i="1"/>
  <c r="O206" i="1"/>
  <c r="N203" i="1"/>
  <c r="N202" i="1"/>
  <c r="O205" i="1"/>
  <c r="M206" i="1"/>
  <c r="AB119" i="1"/>
  <c r="AB201" i="1" s="1"/>
  <c r="AA119" i="1"/>
  <c r="AA201" i="1" s="1"/>
  <c r="Z119" i="1"/>
  <c r="Z201" i="1" s="1"/>
  <c r="Y119" i="1"/>
  <c r="Y201" i="1" s="1"/>
  <c r="X119" i="1"/>
  <c r="X201" i="1" s="1"/>
  <c r="W119" i="1"/>
  <c r="W201" i="1" s="1"/>
  <c r="V119" i="1"/>
  <c r="V201" i="1" s="1"/>
  <c r="U119" i="1"/>
  <c r="U201" i="1" s="1"/>
  <c r="T119" i="1"/>
  <c r="T201" i="1" s="1"/>
  <c r="S119" i="1"/>
  <c r="S201" i="1" s="1"/>
  <c r="R119" i="1"/>
  <c r="R201" i="1" s="1"/>
  <c r="Q119" i="1"/>
  <c r="Q201" i="1" s="1"/>
  <c r="P119" i="1"/>
  <c r="P201" i="1" s="1"/>
  <c r="O119" i="1"/>
  <c r="M119" i="1"/>
  <c r="J119" i="1"/>
  <c r="J201" i="1" s="1"/>
  <c r="I119" i="1"/>
  <c r="I201" i="1" s="1"/>
  <c r="H119" i="1"/>
  <c r="H201" i="1" s="1"/>
  <c r="G119" i="1"/>
  <c r="G201" i="1" s="1"/>
  <c r="F119" i="1"/>
  <c r="F201" i="1" s="1"/>
  <c r="E119" i="1"/>
  <c r="E201" i="1" s="1"/>
  <c r="D119" i="1"/>
  <c r="D201" i="1" s="1"/>
  <c r="C119" i="1"/>
  <c r="C201" i="1" s="1"/>
  <c r="B119" i="1"/>
  <c r="B201" i="1" s="1"/>
  <c r="AD118" i="1"/>
  <c r="AD200" i="1" s="1"/>
  <c r="AC118" i="1"/>
  <c r="AC200" i="1" s="1"/>
  <c r="AB118" i="1"/>
  <c r="AB200" i="1" s="1"/>
  <c r="AA118" i="1"/>
  <c r="AA200" i="1" s="1"/>
  <c r="Z118" i="1"/>
  <c r="Y118" i="1"/>
  <c r="X118" i="1"/>
  <c r="W118" i="1"/>
  <c r="V118" i="1"/>
  <c r="U118" i="1"/>
  <c r="T118" i="1"/>
  <c r="S118" i="1"/>
  <c r="R118" i="1"/>
  <c r="Q118" i="1"/>
  <c r="P118" i="1"/>
  <c r="O118" i="1"/>
  <c r="I118" i="1"/>
  <c r="H118" i="1"/>
  <c r="G118" i="1"/>
  <c r="F118" i="1"/>
  <c r="E118" i="1"/>
  <c r="D118" i="1"/>
  <c r="C118" i="1"/>
  <c r="B118" i="1"/>
  <c r="AD112" i="1"/>
  <c r="AC112" i="1"/>
  <c r="AB112" i="1"/>
  <c r="C200" i="1" l="1"/>
  <c r="C130" i="1"/>
  <c r="R200" i="1"/>
  <c r="R130" i="1"/>
  <c r="O201" i="1"/>
  <c r="H200" i="1"/>
  <c r="H130" i="1"/>
  <c r="H212" i="1" s="1"/>
  <c r="O200" i="1"/>
  <c r="O130" i="1"/>
  <c r="S200" i="1"/>
  <c r="S130" i="1"/>
  <c r="S212" i="1" s="1"/>
  <c r="W200" i="1"/>
  <c r="W130" i="1"/>
  <c r="W212" i="1" s="1"/>
  <c r="G200" i="1"/>
  <c r="G130" i="1"/>
  <c r="Z200" i="1"/>
  <c r="Z130" i="1"/>
  <c r="D200" i="1"/>
  <c r="D130" i="1"/>
  <c r="D212" i="1" s="1"/>
  <c r="E200" i="1"/>
  <c r="E130" i="1"/>
  <c r="I200" i="1"/>
  <c r="I130" i="1"/>
  <c r="P200" i="1"/>
  <c r="P130" i="1"/>
  <c r="T200" i="1"/>
  <c r="T130" i="1"/>
  <c r="X200" i="1"/>
  <c r="X130" i="1"/>
  <c r="V200" i="1"/>
  <c r="V130" i="1"/>
  <c r="B200" i="1"/>
  <c r="B130" i="1"/>
  <c r="B212" i="1" s="1"/>
  <c r="F200" i="1"/>
  <c r="F130" i="1"/>
  <c r="F212" i="1" s="1"/>
  <c r="Q200" i="1"/>
  <c r="Q130" i="1"/>
  <c r="U200" i="1"/>
  <c r="U130" i="1"/>
  <c r="U212" i="1" s="1"/>
  <c r="Y200" i="1"/>
  <c r="Y130" i="1"/>
  <c r="Y212" i="1" s="1"/>
  <c r="M201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I112" i="1"/>
  <c r="H112" i="1"/>
  <c r="G112" i="1"/>
  <c r="F112" i="1"/>
  <c r="E112" i="1"/>
  <c r="D112" i="1"/>
  <c r="C112" i="1"/>
  <c r="B112" i="1"/>
  <c r="N111" i="1"/>
  <c r="M111" i="1"/>
  <c r="J111" i="1"/>
  <c r="L110" i="1"/>
  <c r="J110" i="1"/>
  <c r="L109" i="1"/>
  <c r="K109" i="1"/>
  <c r="J109" i="1"/>
  <c r="N108" i="1"/>
  <c r="K108" i="1"/>
  <c r="J108" i="1"/>
  <c r="N107" i="1"/>
  <c r="L107" i="1"/>
  <c r="K107" i="1"/>
  <c r="J107" i="1"/>
  <c r="N106" i="1"/>
  <c r="L106" i="1"/>
  <c r="K106" i="1"/>
  <c r="J106" i="1"/>
  <c r="N105" i="1"/>
  <c r="M105" i="1"/>
  <c r="K105" i="1"/>
  <c r="L104" i="1"/>
  <c r="K104" i="1"/>
  <c r="M103" i="1"/>
  <c r="M121" i="1" s="1"/>
  <c r="L103" i="1"/>
  <c r="K103" i="1"/>
  <c r="M102" i="1"/>
  <c r="M120" i="1" s="1"/>
  <c r="K102" i="1"/>
  <c r="N101" i="1"/>
  <c r="K101" i="1"/>
  <c r="N100" i="1"/>
  <c r="M100" i="1"/>
  <c r="M112" i="1" s="1"/>
  <c r="K100" i="1"/>
  <c r="J100" i="1"/>
  <c r="AD93" i="1"/>
  <c r="AD130" i="1" s="1"/>
  <c r="AC93" i="1"/>
  <c r="AC130" i="1" s="1"/>
  <c r="AB93" i="1"/>
  <c r="AB130" i="1" s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I93" i="1"/>
  <c r="H93" i="1"/>
  <c r="G93" i="1"/>
  <c r="F93" i="1"/>
  <c r="E93" i="1"/>
  <c r="D93" i="1"/>
  <c r="C93" i="1"/>
  <c r="B93" i="1"/>
  <c r="N92" i="1"/>
  <c r="M92" i="1"/>
  <c r="M129" i="1" s="1"/>
  <c r="J92" i="1"/>
  <c r="J129" i="1" s="1"/>
  <c r="J211" i="1" s="1"/>
  <c r="N91" i="1"/>
  <c r="N128" i="1" s="1"/>
  <c r="N210" i="1" s="1"/>
  <c r="L91" i="1"/>
  <c r="L128" i="1" s="1"/>
  <c r="L210" i="1" s="1"/>
  <c r="J91" i="1"/>
  <c r="J128" i="1" s="1"/>
  <c r="J210" i="1" s="1"/>
  <c r="L90" i="1"/>
  <c r="K90" i="1"/>
  <c r="J90" i="1"/>
  <c r="N89" i="1"/>
  <c r="N126" i="1" s="1"/>
  <c r="N208" i="1" s="1"/>
  <c r="K89" i="1"/>
  <c r="J89" i="1"/>
  <c r="N88" i="1"/>
  <c r="N125" i="1" s="1"/>
  <c r="N207" i="1" s="1"/>
  <c r="L88" i="1"/>
  <c r="L125" i="1" s="1"/>
  <c r="K88" i="1"/>
  <c r="J88" i="1"/>
  <c r="N87" i="1"/>
  <c r="N124" i="1" s="1"/>
  <c r="L87" i="1"/>
  <c r="L124" i="1" s="1"/>
  <c r="K87" i="1"/>
  <c r="J87" i="1"/>
  <c r="N86" i="1"/>
  <c r="N123" i="1" s="1"/>
  <c r="K86" i="1"/>
  <c r="K123" i="1" s="1"/>
  <c r="K205" i="1" s="1"/>
  <c r="L85" i="1"/>
  <c r="L122" i="1" s="1"/>
  <c r="L204" i="1" s="1"/>
  <c r="K85" i="1"/>
  <c r="L84" i="1"/>
  <c r="K84" i="1"/>
  <c r="L83" i="1"/>
  <c r="K83" i="1"/>
  <c r="N82" i="1"/>
  <c r="N119" i="1" s="1"/>
  <c r="N201" i="1" s="1"/>
  <c r="L82" i="1"/>
  <c r="L93" i="1" s="1"/>
  <c r="K82" i="1"/>
  <c r="K119" i="1" s="1"/>
  <c r="K201" i="1" s="1"/>
  <c r="N81" i="1"/>
  <c r="L81" i="1"/>
  <c r="K81" i="1"/>
  <c r="K118" i="1" s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D55" i="1"/>
  <c r="AC55" i="1"/>
  <c r="AB55" i="1"/>
  <c r="Z55" i="1"/>
  <c r="W55" i="1"/>
  <c r="V55" i="1"/>
  <c r="U55" i="1"/>
  <c r="T55" i="1" s="1"/>
  <c r="S55" i="1"/>
  <c r="R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Y54" i="1"/>
  <c r="P54" i="1"/>
  <c r="O54" i="1"/>
  <c r="P53" i="1"/>
  <c r="O53" i="1"/>
  <c r="X52" i="1"/>
  <c r="O52" i="1"/>
  <c r="P50" i="1"/>
  <c r="Q49" i="1"/>
  <c r="P47" i="1"/>
  <c r="P46" i="1"/>
  <c r="P45" i="1"/>
  <c r="P55" i="1" s="1"/>
  <c r="Q44" i="1"/>
  <c r="T43" i="1"/>
  <c r="Q43" i="1"/>
  <c r="AD36" i="1"/>
  <c r="AC36" i="1"/>
  <c r="AB36" i="1"/>
  <c r="AA36" i="1"/>
  <c r="Z36" i="1"/>
  <c r="X36" i="1"/>
  <c r="W36" i="1"/>
  <c r="V36" i="1"/>
  <c r="U36" i="1"/>
  <c r="S36" i="1"/>
  <c r="R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Y35" i="1"/>
  <c r="P35" i="1"/>
  <c r="O35" i="1"/>
  <c r="P34" i="1"/>
  <c r="O34" i="1"/>
  <c r="O33" i="1"/>
  <c r="Q30" i="1"/>
  <c r="P29" i="1"/>
  <c r="P28" i="1"/>
  <c r="P27" i="1"/>
  <c r="Q26" i="1"/>
  <c r="P26" i="1"/>
  <c r="Q25" i="1"/>
  <c r="P25" i="1"/>
  <c r="T24" i="1"/>
  <c r="P24" i="1"/>
  <c r="AD18" i="1"/>
  <c r="AC18" i="1"/>
  <c r="AB18" i="1"/>
  <c r="AA18" i="1"/>
  <c r="Z18" i="1"/>
  <c r="Y18" i="1"/>
  <c r="N206" i="1" l="1"/>
  <c r="M211" i="1"/>
  <c r="Y36" i="1"/>
  <c r="N129" i="1"/>
  <c r="N211" i="1" s="1"/>
  <c r="P36" i="1"/>
  <c r="N118" i="1"/>
  <c r="N200" i="1" s="1"/>
  <c r="K122" i="1"/>
  <c r="K204" i="1" s="1"/>
  <c r="J93" i="1"/>
  <c r="AA130" i="1"/>
  <c r="AA212" i="1" s="1"/>
  <c r="J112" i="1"/>
  <c r="O55" i="1"/>
  <c r="N112" i="1"/>
  <c r="O36" i="1"/>
  <c r="K112" i="1"/>
  <c r="L112" i="1"/>
  <c r="K125" i="1"/>
  <c r="L207" i="1"/>
  <c r="R212" i="1"/>
  <c r="R131" i="1"/>
  <c r="M123" i="1"/>
  <c r="M205" i="1" s="1"/>
  <c r="N205" i="1"/>
  <c r="M93" i="1"/>
  <c r="AC212" i="1"/>
  <c r="AC131" i="1"/>
  <c r="L121" i="1"/>
  <c r="M203" i="1"/>
  <c r="L119" i="1"/>
  <c r="L201" i="1" s="1"/>
  <c r="T36" i="1"/>
  <c r="K124" i="1"/>
  <c r="L206" i="1"/>
  <c r="T212" i="1"/>
  <c r="T131" i="1"/>
  <c r="S131" i="1" s="1"/>
  <c r="Q36" i="1"/>
  <c r="Q55" i="1"/>
  <c r="M118" i="1"/>
  <c r="N93" i="1"/>
  <c r="AD212" i="1"/>
  <c r="AD131" i="1"/>
  <c r="L120" i="1"/>
  <c r="M202" i="1"/>
  <c r="Q212" i="1"/>
  <c r="Q131" i="1"/>
  <c r="X212" i="1"/>
  <c r="X131" i="1"/>
  <c r="W131" i="1" s="1"/>
  <c r="P212" i="1"/>
  <c r="P131" i="1"/>
  <c r="E212" i="1"/>
  <c r="E131" i="1"/>
  <c r="D131" i="1" s="1"/>
  <c r="Z212" i="1"/>
  <c r="Z131" i="1"/>
  <c r="Y131" i="1" s="1"/>
  <c r="O212" i="1"/>
  <c r="C212" i="1"/>
  <c r="C131" i="1"/>
  <c r="J118" i="1"/>
  <c r="K200" i="1"/>
  <c r="AB212" i="1"/>
  <c r="V212" i="1"/>
  <c r="V131" i="1"/>
  <c r="U131" i="1" s="1"/>
  <c r="I212" i="1"/>
  <c r="I131" i="1"/>
  <c r="H131" i="1" s="1"/>
  <c r="G212" i="1"/>
  <c r="G131" i="1"/>
  <c r="F131" i="1" s="1"/>
  <c r="Y55" i="1"/>
  <c r="X55" i="1" s="1"/>
  <c r="K126" i="1"/>
  <c r="L127" i="1"/>
  <c r="K93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X14" i="1"/>
  <c r="X13" i="1"/>
  <c r="X12" i="1"/>
  <c r="X11" i="1"/>
  <c r="X10" i="1"/>
  <c r="X9" i="1"/>
  <c r="J200" i="1" l="1"/>
  <c r="N130" i="1"/>
  <c r="O131" i="1" s="1"/>
  <c r="AA131" i="1"/>
  <c r="AB131" i="1"/>
  <c r="X18" i="1"/>
  <c r="J126" i="1"/>
  <c r="J208" i="1" s="1"/>
  <c r="K208" i="1"/>
  <c r="K120" i="1"/>
  <c r="L202" i="1"/>
  <c r="M130" i="1"/>
  <c r="J124" i="1"/>
  <c r="K206" i="1"/>
  <c r="K121" i="1"/>
  <c r="K203" i="1" s="1"/>
  <c r="L203" i="1"/>
  <c r="N131" i="1"/>
  <c r="K127" i="1"/>
  <c r="L209" i="1"/>
  <c r="L118" i="1"/>
  <c r="L200" i="1" s="1"/>
  <c r="M200" i="1"/>
  <c r="J125" i="1"/>
  <c r="J207" i="1" s="1"/>
  <c r="K207" i="1"/>
  <c r="J206" i="1" l="1"/>
  <c r="N212" i="1"/>
  <c r="K202" i="1"/>
  <c r="K130" i="1"/>
  <c r="L130" i="1"/>
  <c r="M212" i="1"/>
  <c r="J127" i="1"/>
  <c r="J209" i="1" s="1"/>
  <c r="K209" i="1"/>
  <c r="L212" i="1" l="1"/>
  <c r="L131" i="1"/>
  <c r="J130" i="1"/>
  <c r="K212" i="1"/>
  <c r="M131" i="1"/>
  <c r="J212" i="1" l="1"/>
  <c r="J131" i="1"/>
  <c r="K131" i="1"/>
</calcChain>
</file>

<file path=xl/sharedStrings.xml><?xml version="1.0" encoding="utf-8"?>
<sst xmlns="http://schemas.openxmlformats.org/spreadsheetml/2006/main" count="217" uniqueCount="78">
  <si>
    <t>MONTH</t>
  </si>
  <si>
    <t>JAN</t>
  </si>
  <si>
    <t>FEB</t>
  </si>
  <si>
    <t>MAR</t>
  </si>
  <si>
    <t xml:space="preserve"> APR </t>
  </si>
  <si>
    <t xml:space="preserve"> MAY</t>
  </si>
  <si>
    <t xml:space="preserve"> JUN </t>
  </si>
  <si>
    <t xml:space="preserve"> JUL </t>
  </si>
  <si>
    <t xml:space="preserve"> AUG</t>
  </si>
  <si>
    <t>SEP</t>
  </si>
  <si>
    <t>OCT</t>
  </si>
  <si>
    <t>NOV</t>
  </si>
  <si>
    <t>DEC</t>
  </si>
  <si>
    <t>TOTAL</t>
  </si>
  <si>
    <t>TOTAL COMMERCIAL AIRCRAFT MOVEMENT</t>
  </si>
  <si>
    <t>IMPORTS</t>
  </si>
  <si>
    <t>APR</t>
  </si>
  <si>
    <t>MAY</t>
  </si>
  <si>
    <t>JUN</t>
  </si>
  <si>
    <t>JUL</t>
  </si>
  <si>
    <t>AUG</t>
  </si>
  <si>
    <t>SEPT</t>
  </si>
  <si>
    <t>EXPORTS</t>
  </si>
  <si>
    <t>CARGO TRAFFIC STATISTICS (TONNES)</t>
  </si>
  <si>
    <t>OVERFLIGHTS AT ENTEBBE INTERNATIONAL AIRPORT</t>
  </si>
  <si>
    <t>DEPLANED</t>
  </si>
  <si>
    <t>Growth</t>
  </si>
  <si>
    <t>ENPLANED</t>
  </si>
  <si>
    <t xml:space="preserve">INTERNATIONAL PASSENGER FLOW </t>
  </si>
  <si>
    <t>TOTAL international Passenges</t>
  </si>
  <si>
    <t xml:space="preserve">DOMESTIC PASSENGER FLOW </t>
  </si>
  <si>
    <t>CIVIL AVIATION AUTHORITY</t>
  </si>
  <si>
    <t>ENTEBBE INTERNATIONAL AIRPORT</t>
  </si>
  <si>
    <t>%Growth</t>
  </si>
  <si>
    <t>CIVIL AVIATION AUTHORITY UGANDA</t>
  </si>
  <si>
    <t>TRANSIT PASSENGERS THROUGH ENTEBBE AIRPORT</t>
  </si>
  <si>
    <t>TOTAL PASSENGER TRAFFIC  THROUGH ENTEBBE INTERNATIONAL AIRPORT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</si>
  <si>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</si>
  <si>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</si>
  <si>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</si>
  <si>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</si>
  <si>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</si>
  <si>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</si>
  <si>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</si>
  <si>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</si>
  <si>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</si>
  <si>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</si>
  <si>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</si>
  <si>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</si>
  <si>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</si>
  <si>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</si>
  <si>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</si>
  <si>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</si>
  <si>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</si>
  <si>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</si>
  <si>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</si>
  <si>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</si>
  <si>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</si>
  <si>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</si>
  <si>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</si>
  <si>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</si>
  <si>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</si>
  <si>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</si>
  <si>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</si>
  <si>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</si>
  <si>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</si>
  <si>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</si>
  <si>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Transit Passengers</t>
  </si>
  <si>
    <t>Domestic Passengers</t>
  </si>
  <si>
    <t>Unloaded</t>
  </si>
  <si>
    <t>Loaded</t>
  </si>
  <si>
    <t>International Passengers</t>
  </si>
  <si>
    <t>Commercial Aircraft movts</t>
  </si>
  <si>
    <t>Over Flights</t>
  </si>
  <si>
    <t>Traffic Item</t>
  </si>
  <si>
    <t>Imports (Tonnes)</t>
  </si>
  <si>
    <t>Exports (Tonnes)</t>
  </si>
  <si>
    <t>Aircraft Movements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</si>
</sst>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"/>
    <numFmt numFmtId="167" formatCode="_(* #,##0.0_);_(* \(#,##0.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Helv"/>
    </font>
    <font>
      <sz val="10"/>
      <name val="Helv"/>
    </font>
    <font>
      <sz val="10"/>
      <color indexed="8"/>
      <name val="Helv"/>
    </font>
    <font>
      <sz val="10"/>
      <color indexed="8"/>
      <name val="Century Gothic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color rgb="FFC00000"/>
      <name val="Arial"/>
      <family val="2"/>
    </font>
    <font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0" fillId="0" borderId="0"/>
  </cellStyleXfs>
  <cellXfs count="184">
    <xf numFmtId="0" fontId="0" fillId="0" borderId="0" xfId="0"/>
    <xf numFmtId="0" fontId="2" fillId="0" borderId="3" xfId="0" applyFont="1" applyFill="1" applyBorder="1"/>
    <xf numFmtId="0" fontId="2" fillId="0" borderId="2" xfId="0" applyFont="1" applyFill="1" applyBorder="1"/>
    <xf numFmtId="0" fontId="2" fillId="0" borderId="5" xfId="0" applyFont="1" applyFill="1" applyBorder="1"/>
    <xf numFmtId="0" fontId="0" fillId="0" borderId="7" xfId="0" applyFill="1" applyBorder="1"/>
    <xf numFmtId="1" fontId="5" fillId="0" borderId="8" xfId="1" applyNumberFormat="1" applyFont="1" applyFill="1" applyBorder="1"/>
    <xf numFmtId="0" fontId="0" fillId="0" borderId="8" xfId="0" applyFill="1" applyBorder="1"/>
    <xf numFmtId="0" fontId="8" fillId="0" borderId="26" xfId="0" applyFont="1" applyFill="1" applyBorder="1"/>
    <xf numFmtId="3" fontId="7" fillId="0" borderId="6" xfId="1" applyNumberFormat="1" applyFont="1" applyFill="1" applyBorder="1"/>
    <xf numFmtId="3" fontId="7" fillId="0" borderId="7" xfId="1" applyNumberFormat="1" applyFont="1" applyFill="1" applyBorder="1"/>
    <xf numFmtId="3" fontId="7" fillId="0" borderId="7" xfId="0" applyNumberFormat="1" applyFont="1" applyFill="1" applyBorder="1" applyAlignment="1">
      <alignment horizontal="right"/>
    </xf>
    <xf numFmtId="165" fontId="7" fillId="0" borderId="7" xfId="1" applyNumberFormat="1" applyFont="1" applyFill="1" applyBorder="1"/>
    <xf numFmtId="1" fontId="7" fillId="0" borderId="13" xfId="0" applyNumberFormat="1" applyFont="1" applyFill="1" applyBorder="1"/>
    <xf numFmtId="0" fontId="8" fillId="0" borderId="7" xfId="0" applyFont="1" applyFill="1" applyBorder="1"/>
    <xf numFmtId="0" fontId="2" fillId="0" borderId="4" xfId="0" applyFont="1" applyFill="1" applyBorder="1"/>
    <xf numFmtId="0" fontId="2" fillId="0" borderId="28" xfId="0" applyFont="1" applyFill="1" applyBorder="1"/>
    <xf numFmtId="1" fontId="2" fillId="0" borderId="7" xfId="1" applyNumberFormat="1" applyFont="1" applyFill="1" applyBorder="1"/>
    <xf numFmtId="1" fontId="2" fillId="0" borderId="13" xfId="1" applyNumberFormat="1" applyFont="1" applyFill="1" applyBorder="1"/>
    <xf numFmtId="0" fontId="2" fillId="0" borderId="19" xfId="0" applyFont="1" applyFill="1" applyBorder="1"/>
    <xf numFmtId="0" fontId="0" fillId="0" borderId="0" xfId="0" applyFill="1" applyBorder="1"/>
    <xf numFmtId="0" fontId="2" fillId="0" borderId="7" xfId="0" applyFont="1" applyFill="1" applyBorder="1"/>
    <xf numFmtId="0" fontId="2" fillId="0" borderId="13" xfId="0" applyFont="1" applyFill="1" applyBorder="1"/>
    <xf numFmtId="0" fontId="2" fillId="0" borderId="32" xfId="0" applyFont="1" applyFill="1" applyBorder="1"/>
    <xf numFmtId="0" fontId="2" fillId="0" borderId="0" xfId="0" applyFont="1" applyFill="1" applyBorder="1"/>
    <xf numFmtId="0" fontId="13" fillId="0" borderId="0" xfId="0" applyFont="1" applyFill="1" applyBorder="1"/>
    <xf numFmtId="0" fontId="2" fillId="0" borderId="38" xfId="0" applyFont="1" applyFill="1" applyBorder="1"/>
    <xf numFmtId="0" fontId="8" fillId="0" borderId="2" xfId="0" applyFont="1" applyFill="1" applyBorder="1"/>
    <xf numFmtId="0" fontId="8" fillId="0" borderId="3" xfId="0" applyFont="1" applyFill="1" applyBorder="1"/>
    <xf numFmtId="0" fontId="7" fillId="0" borderId="8" xfId="0" applyFont="1" applyFill="1" applyBorder="1"/>
    <xf numFmtId="0" fontId="7" fillId="0" borderId="7" xfId="0" applyFont="1" applyFill="1" applyBorder="1"/>
    <xf numFmtId="0" fontId="2" fillId="0" borderId="6" xfId="0" applyFont="1" applyFill="1" applyBorder="1"/>
    <xf numFmtId="0" fontId="6" fillId="0" borderId="8" xfId="0" applyFont="1" applyFill="1" applyBorder="1"/>
    <xf numFmtId="0" fontId="5" fillId="0" borderId="8" xfId="0" applyFont="1" applyFill="1" applyBorder="1"/>
    <xf numFmtId="0" fontId="0" fillId="0" borderId="9" xfId="0" applyFill="1" applyBorder="1"/>
    <xf numFmtId="0" fontId="0" fillId="0" borderId="24" xfId="0" applyFill="1" applyBorder="1"/>
    <xf numFmtId="0" fontId="0" fillId="0" borderId="0" xfId="0" applyFill="1"/>
    <xf numFmtId="0" fontId="0" fillId="0" borderId="36" xfId="0" applyNumberFormat="1" applyFill="1" applyBorder="1"/>
    <xf numFmtId="0" fontId="4" fillId="0" borderId="13" xfId="0" applyFont="1" applyFill="1" applyBorder="1"/>
    <xf numFmtId="0" fontId="2" fillId="0" borderId="8" xfId="0" applyFont="1" applyFill="1" applyBorder="1"/>
    <xf numFmtId="0" fontId="2" fillId="0" borderId="0" xfId="0" applyFont="1" applyFill="1" applyAlignment="1"/>
    <xf numFmtId="0" fontId="2" fillId="0" borderId="1" xfId="0" applyFont="1" applyFill="1" applyBorder="1"/>
    <xf numFmtId="0" fontId="3" fillId="0" borderId="2" xfId="0" applyFont="1" applyFill="1" applyBorder="1"/>
    <xf numFmtId="0" fontId="4" fillId="0" borderId="7" xfId="0" applyFont="1" applyFill="1" applyBorder="1"/>
    <xf numFmtId="1" fontId="5" fillId="0" borderId="10" xfId="1" applyNumberFormat="1" applyFont="1" applyFill="1" applyBorder="1"/>
    <xf numFmtId="1" fontId="5" fillId="0" borderId="11" xfId="1" applyNumberFormat="1" applyFont="1" applyFill="1" applyBorder="1"/>
    <xf numFmtId="1" fontId="5" fillId="0" borderId="12" xfId="1" applyNumberFormat="1" applyFont="1" applyFill="1" applyBorder="1"/>
    <xf numFmtId="0" fontId="0" fillId="0" borderId="13" xfId="0" applyFill="1" applyBorder="1"/>
    <xf numFmtId="1" fontId="6" fillId="0" borderId="8" xfId="1" applyNumberFormat="1" applyFont="1" applyFill="1" applyBorder="1"/>
    <xf numFmtId="1" fontId="5" fillId="0" borderId="14" xfId="1" applyNumberFormat="1" applyFont="1" applyFill="1" applyBorder="1"/>
    <xf numFmtId="1" fontId="5" fillId="0" borderId="15" xfId="1" applyNumberFormat="1" applyFont="1" applyFill="1" applyBorder="1"/>
    <xf numFmtId="1" fontId="5" fillId="0" borderId="16" xfId="1" applyNumberFormat="1" applyFont="1" applyFill="1" applyBorder="1"/>
    <xf numFmtId="1" fontId="5" fillId="0" borderId="17" xfId="1" applyNumberFormat="1" applyFont="1" applyFill="1" applyBorder="1"/>
    <xf numFmtId="0" fontId="2" fillId="0" borderId="18" xfId="0" applyFont="1" applyFill="1" applyBorder="1"/>
    <xf numFmtId="0" fontId="3" fillId="0" borderId="19" xfId="0" applyFont="1" applyFill="1" applyBorder="1"/>
    <xf numFmtId="0" fontId="2" fillId="0" borderId="20" xfId="0" applyFont="1" applyFill="1" applyBorder="1"/>
    <xf numFmtId="0" fontId="2" fillId="0" borderId="21" xfId="0" applyFont="1" applyFill="1" applyBorder="1"/>
    <xf numFmtId="0" fontId="2" fillId="0" borderId="22" xfId="0" applyFont="1" applyFill="1" applyBorder="1"/>
    <xf numFmtId="1" fontId="2" fillId="0" borderId="20" xfId="1" applyNumberFormat="1" applyFont="1" applyFill="1" applyBorder="1"/>
    <xf numFmtId="0" fontId="7" fillId="0" borderId="23" xfId="0" applyFont="1" applyFill="1" applyBorder="1"/>
    <xf numFmtId="0" fontId="8" fillId="0" borderId="25" xfId="0" applyFont="1" applyFill="1" applyBorder="1"/>
    <xf numFmtId="0" fontId="8" fillId="0" borderId="6" xfId="0" applyFont="1" applyFill="1" applyBorder="1"/>
    <xf numFmtId="0" fontId="8" fillId="0" borderId="13" xfId="0" applyFont="1" applyFill="1" applyBorder="1"/>
    <xf numFmtId="3" fontId="7" fillId="0" borderId="7" xfId="1" applyNumberFormat="1" applyFont="1" applyFill="1" applyBorder="1" applyAlignment="1">
      <alignment horizontal="right"/>
    </xf>
    <xf numFmtId="3" fontId="9" fillId="0" borderId="7" xfId="1" applyNumberFormat="1" applyFont="1" applyFill="1" applyBorder="1"/>
    <xf numFmtId="3" fontId="7" fillId="0" borderId="7" xfId="2" applyNumberFormat="1" applyFont="1" applyFill="1" applyBorder="1"/>
    <xf numFmtId="0" fontId="8" fillId="0" borderId="27" xfId="0" applyFont="1" applyFill="1" applyBorder="1"/>
    <xf numFmtId="3" fontId="8" fillId="0" borderId="18" xfId="1" applyNumberFormat="1" applyFont="1" applyFill="1" applyBorder="1"/>
    <xf numFmtId="3" fontId="8" fillId="0" borderId="19" xfId="1" applyNumberFormat="1" applyFont="1" applyFill="1" applyBorder="1"/>
    <xf numFmtId="3" fontId="8" fillId="0" borderId="19" xfId="0" applyNumberFormat="1" applyFont="1" applyFill="1" applyBorder="1"/>
    <xf numFmtId="165" fontId="8" fillId="0" borderId="19" xfId="0" applyNumberFormat="1" applyFont="1" applyFill="1" applyBorder="1"/>
    <xf numFmtId="165" fontId="8" fillId="0" borderId="21" xfId="0" applyNumberFormat="1" applyFont="1" applyFill="1" applyBorder="1"/>
    <xf numFmtId="0" fontId="8" fillId="0" borderId="0" xfId="0" applyFont="1" applyFill="1" applyBorder="1"/>
    <xf numFmtId="3" fontId="8" fillId="0" borderId="0" xfId="1" applyNumberFormat="1" applyFont="1" applyFill="1" applyBorder="1"/>
    <xf numFmtId="3" fontId="8" fillId="0" borderId="0" xfId="0" applyNumberFormat="1" applyFont="1" applyFill="1" applyBorder="1"/>
    <xf numFmtId="165" fontId="8" fillId="0" borderId="0" xfId="0" applyNumberFormat="1" applyFont="1" applyFill="1" applyBorder="1"/>
    <xf numFmtId="0" fontId="7" fillId="0" borderId="0" xfId="0" applyFont="1" applyFill="1"/>
    <xf numFmtId="43" fontId="7" fillId="0" borderId="0" xfId="0" applyNumberFormat="1" applyFont="1" applyFill="1"/>
    <xf numFmtId="167" fontId="7" fillId="0" borderId="0" xfId="0" applyNumberFormat="1" applyFont="1" applyFill="1"/>
    <xf numFmtId="3" fontId="9" fillId="0" borderId="7" xfId="1" applyNumberFormat="1" applyFont="1" applyFill="1" applyBorder="1" applyAlignment="1">
      <alignment horizontal="right"/>
    </xf>
    <xf numFmtId="3" fontId="7" fillId="0" borderId="7" xfId="3" applyNumberFormat="1" applyFont="1" applyFill="1" applyBorder="1"/>
    <xf numFmtId="0" fontId="2" fillId="0" borderId="29" xfId="0" applyFont="1" applyFill="1" applyBorder="1"/>
    <xf numFmtId="0" fontId="2" fillId="0" borderId="30" xfId="0" applyFont="1" applyFill="1" applyBorder="1"/>
    <xf numFmtId="43" fontId="0" fillId="0" borderId="0" xfId="1" applyFont="1" applyFill="1"/>
    <xf numFmtId="0" fontId="2" fillId="0" borderId="0" xfId="0" applyFont="1" applyFill="1" applyBorder="1" applyAlignment="1"/>
    <xf numFmtId="0" fontId="3" fillId="0" borderId="6" xfId="0" applyFont="1" applyFill="1" applyBorder="1"/>
    <xf numFmtId="0" fontId="2" fillId="0" borderId="26" xfId="0" applyFont="1" applyFill="1" applyBorder="1"/>
    <xf numFmtId="0" fontId="4" fillId="0" borderId="6" xfId="0" applyFont="1" applyFill="1" applyBorder="1"/>
    <xf numFmtId="0" fontId="5" fillId="0" borderId="7" xfId="0" applyFont="1" applyFill="1" applyBorder="1"/>
    <xf numFmtId="1" fontId="10" fillId="0" borderId="7" xfId="1" applyNumberFormat="1" applyFont="1" applyFill="1" applyBorder="1"/>
    <xf numFmtId="0" fontId="6" fillId="0" borderId="7" xfId="0" applyFont="1" applyFill="1" applyBorder="1"/>
    <xf numFmtId="1" fontId="0" fillId="0" borderId="7" xfId="1" applyNumberFormat="1" applyFont="1" applyFill="1" applyBorder="1"/>
    <xf numFmtId="1" fontId="5" fillId="0" borderId="7" xfId="1" applyNumberFormat="1" applyFont="1" applyFill="1" applyBorder="1"/>
    <xf numFmtId="1" fontId="11" fillId="0" borderId="7" xfId="1" applyNumberFormat="1" applyFont="1" applyFill="1" applyBorder="1"/>
    <xf numFmtId="1" fontId="6" fillId="0" borderId="7" xfId="1" applyNumberFormat="1" applyFont="1" applyFill="1" applyBorder="1"/>
    <xf numFmtId="1" fontId="12" fillId="0" borderId="7" xfId="0" applyNumberFormat="1" applyFont="1" applyFill="1" applyBorder="1"/>
    <xf numFmtId="0" fontId="2" fillId="0" borderId="27" xfId="0" applyFont="1" applyFill="1" applyBorder="1"/>
    <xf numFmtId="0" fontId="3" fillId="0" borderId="18" xfId="0" applyFont="1" applyFill="1" applyBorder="1"/>
    <xf numFmtId="0" fontId="0" fillId="0" borderId="19" xfId="0" applyFill="1" applyBorder="1"/>
    <xf numFmtId="0" fontId="3" fillId="0" borderId="0" xfId="0" applyFont="1" applyFill="1" applyBorder="1"/>
    <xf numFmtId="0" fontId="4" fillId="0" borderId="0" xfId="0" applyFont="1" applyFill="1"/>
    <xf numFmtId="166" fontId="0" fillId="0" borderId="0" xfId="0" applyNumberFormat="1" applyFill="1"/>
    <xf numFmtId="0" fontId="3" fillId="0" borderId="7" xfId="0" applyFont="1" applyFill="1" applyBorder="1"/>
    <xf numFmtId="0" fontId="4" fillId="0" borderId="0" xfId="0" applyFont="1" applyFill="1" applyBorder="1"/>
    <xf numFmtId="166" fontId="0" fillId="0" borderId="0" xfId="0" applyNumberFormat="1" applyFill="1" applyBorder="1"/>
    <xf numFmtId="0" fontId="2" fillId="0" borderId="0" xfId="0" applyFont="1" applyFill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39" xfId="0" applyNumberFormat="1" applyFill="1" applyBorder="1"/>
    <xf numFmtId="0" fontId="0" fillId="0" borderId="7" xfId="0" applyNumberFormat="1" applyFill="1" applyBorder="1"/>
    <xf numFmtId="0" fontId="0" fillId="0" borderId="40" xfId="0" applyNumberFormat="1" applyFill="1" applyBorder="1"/>
    <xf numFmtId="0" fontId="2" fillId="0" borderId="0" xfId="0" applyFont="1" applyFill="1"/>
    <xf numFmtId="0" fontId="0" fillId="0" borderId="37" xfId="0" applyNumberFormat="1" applyFill="1" applyBorder="1"/>
    <xf numFmtId="0" fontId="0" fillId="0" borderId="35" xfId="0" applyNumberFormat="1" applyFill="1" applyBorder="1"/>
    <xf numFmtId="0" fontId="0" fillId="0" borderId="38" xfId="0" applyFill="1" applyBorder="1"/>
    <xf numFmtId="166" fontId="0" fillId="0" borderId="38" xfId="0" applyNumberFormat="1" applyFill="1" applyBorder="1" applyAlignment="1"/>
    <xf numFmtId="0" fontId="8" fillId="0" borderId="1" xfId="0" applyFont="1" applyFill="1" applyBorder="1"/>
    <xf numFmtId="0" fontId="8" fillId="0" borderId="18" xfId="0" applyFont="1" applyFill="1" applyBorder="1"/>
    <xf numFmtId="0" fontId="8" fillId="0" borderId="19" xfId="0" applyFont="1" applyFill="1" applyBorder="1"/>
    <xf numFmtId="0" fontId="8" fillId="0" borderId="20" xfId="0" applyFont="1" applyFill="1" applyBorder="1"/>
    <xf numFmtId="0" fontId="8" fillId="0" borderId="8" xfId="0" applyFont="1" applyFill="1" applyBorder="1"/>
    <xf numFmtId="0" fontId="8" fillId="0" borderId="21" xfId="0" applyFont="1" applyFill="1" applyBorder="1"/>
    <xf numFmtId="0" fontId="0" fillId="0" borderId="36" xfId="0" applyNumberFormat="1" applyBorder="1"/>
    <xf numFmtId="165" fontId="0" fillId="0" borderId="0" xfId="0" applyNumberFormat="1" applyFill="1"/>
    <xf numFmtId="0" fontId="15" fillId="0" borderId="1" xfId="0" applyFont="1" applyFill="1" applyBorder="1"/>
    <xf numFmtId="0" fontId="15" fillId="0" borderId="2" xfId="0" applyFont="1" applyFill="1" applyBorder="1"/>
    <xf numFmtId="0" fontId="15" fillId="0" borderId="3" xfId="0" applyFont="1" applyFill="1" applyBorder="1"/>
    <xf numFmtId="0" fontId="15" fillId="0" borderId="7" xfId="0" applyFont="1" applyFill="1" applyBorder="1"/>
    <xf numFmtId="0" fontId="15" fillId="0" borderId="13" xfId="0" applyFont="1" applyFill="1" applyBorder="1"/>
    <xf numFmtId="0" fontId="15" fillId="0" borderId="6" xfId="0" applyFont="1" applyFill="1" applyBorder="1"/>
    <xf numFmtId="0" fontId="16" fillId="0" borderId="7" xfId="0" applyFont="1" applyFill="1" applyBorder="1"/>
    <xf numFmtId="0" fontId="16" fillId="0" borderId="8" xfId="0" applyFont="1" applyFill="1" applyBorder="1"/>
    <xf numFmtId="1" fontId="16" fillId="0" borderId="13" xfId="0" applyNumberFormat="1" applyFont="1" applyFill="1" applyBorder="1"/>
    <xf numFmtId="0" fontId="17" fillId="0" borderId="8" xfId="0" applyFont="1" applyFill="1" applyBorder="1"/>
    <xf numFmtId="0" fontId="15" fillId="0" borderId="18" xfId="0" applyFont="1" applyFill="1" applyBorder="1"/>
    <xf numFmtId="0" fontId="15" fillId="0" borderId="19" xfId="0" applyFont="1" applyFill="1" applyBorder="1"/>
    <xf numFmtId="0" fontId="15" fillId="0" borderId="20" xfId="0" applyFont="1" applyFill="1" applyBorder="1"/>
    <xf numFmtId="0" fontId="15" fillId="0" borderId="8" xfId="0" applyFont="1" applyFill="1" applyBorder="1"/>
    <xf numFmtId="0" fontId="15" fillId="0" borderId="21" xfId="0" applyFont="1" applyFill="1" applyBorder="1"/>
    <xf numFmtId="0" fontId="0" fillId="2" borderId="13" xfId="0" applyFill="1" applyBorder="1"/>
    <xf numFmtId="0" fontId="18" fillId="0" borderId="19" xfId="0" applyFont="1" applyFill="1" applyBorder="1"/>
    <xf numFmtId="0" fontId="18" fillId="0" borderId="21" xfId="0" applyFont="1" applyFill="1" applyBorder="1"/>
    <xf numFmtId="0" fontId="18" fillId="0" borderId="0" xfId="0" applyFont="1" applyFill="1"/>
    <xf numFmtId="1" fontId="8" fillId="0" borderId="20" xfId="0" applyNumberFormat="1" applyFont="1" applyFill="1" applyBorder="1"/>
    <xf numFmtId="1" fontId="15" fillId="0" borderId="13" xfId="0" applyNumberFormat="1" applyFont="1" applyFill="1" applyBorder="1"/>
    <xf numFmtId="1" fontId="0" fillId="0" borderId="0" xfId="0" applyNumberFormat="1" applyFill="1"/>
    <xf numFmtId="3" fontId="0" fillId="0" borderId="0" xfId="0" applyNumberFormat="1" applyFill="1"/>
    <xf numFmtId="165" fontId="0" fillId="0" borderId="0" xfId="1" applyNumberFormat="1" applyFont="1" applyFill="1"/>
    <xf numFmtId="1" fontId="19" fillId="0" borderId="13" xfId="0" applyNumberFormat="1" applyFont="1" applyFill="1" applyBorder="1"/>
    <xf numFmtId="0" fontId="20" fillId="0" borderId="36" xfId="4" applyNumberFormat="1" applyBorder="1"/>
    <xf numFmtId="0" fontId="20" fillId="0" borderId="36" xfId="4" applyNumberFormat="1" applyBorder="1"/>
    <xf numFmtId="0" fontId="0" fillId="3" borderId="0" xfId="0" applyFill="1"/>
    <xf numFmtId="0" fontId="22" fillId="3" borderId="7" xfId="0" applyFont="1" applyFill="1" applyBorder="1"/>
    <xf numFmtId="1" fontId="22" fillId="3" borderId="7" xfId="0" applyNumberFormat="1" applyFont="1" applyFill="1" applyBorder="1"/>
    <xf numFmtId="0" fontId="21" fillId="3" borderId="41" xfId="0" applyFont="1" applyFill="1" applyBorder="1"/>
    <xf numFmtId="0" fontId="22" fillId="3" borderId="42" xfId="0" applyFont="1" applyFill="1" applyBorder="1" applyAlignment="1">
      <alignment horizontal="right"/>
    </xf>
    <xf numFmtId="0" fontId="22" fillId="3" borderId="43" xfId="0" applyFont="1" applyFill="1" applyBorder="1" applyAlignment="1">
      <alignment horizontal="right"/>
    </xf>
    <xf numFmtId="0" fontId="22" fillId="3" borderId="44" xfId="0" applyFont="1" applyFill="1" applyBorder="1"/>
    <xf numFmtId="0" fontId="22" fillId="3" borderId="45" xfId="0" applyFont="1" applyFill="1" applyBorder="1"/>
    <xf numFmtId="1" fontId="22" fillId="3" borderId="45" xfId="0" applyNumberFormat="1" applyFont="1" applyFill="1" applyBorder="1"/>
    <xf numFmtId="0" fontId="22" fillId="3" borderId="46" xfId="0" applyFont="1" applyFill="1" applyBorder="1"/>
    <xf numFmtId="0" fontId="23" fillId="3" borderId="47" xfId="0" applyFont="1" applyFill="1" applyBorder="1" applyAlignment="1">
      <alignment horizontal="right" vertical="center" wrapText="1"/>
    </xf>
    <xf numFmtId="0" fontId="22" fillId="3" borderId="47" xfId="0" applyFont="1" applyFill="1" applyBorder="1"/>
    <xf numFmtId="0" fontId="0" fillId="3" borderId="47" xfId="0" applyFill="1" applyBorder="1"/>
    <xf numFmtId="0" fontId="0" fillId="3" borderId="48" xfId="0" applyFill="1" applyBorder="1"/>
    <xf numFmtId="0" fontId="1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31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</cellXfs>
  <cellStyles count="5">
    <cellStyle name="Comma" xfId="1" builtinId="3"/>
    <cellStyle name="Comma 4" xfId="3"/>
    <cellStyle name="Comma 5" xfId="2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5"/>
          <c:tx>
            <c:strRef>
              <c:f>fy!$A$9</c:f>
              <c:strCache>
                <c:ptCount val="1"/>
                <c:pt idx="0">
                  <c:v>Unloaded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6"/>
                </a:solidFill>
                <a:round/>
              </a:ln>
              <a:effectLst/>
            </c:spPr>
          </c:marker>
          <c:cat>
            <c:strRef>
              <c:f>fy!$B$3:$AE$3</c:f>
              <c:strCache>
                <c:ptCount val="30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  <c:pt idx="25">
                  <c:v>2016/17</c:v>
                </c:pt>
                <c:pt idx="26">
                  <c:v>2017/18</c:v>
                </c:pt>
                <c:pt idx="27">
                  <c:v>2018/19</c:v>
                </c:pt>
                <c:pt idx="28">
                  <c:v>2019/20</c:v>
                </c:pt>
                <c:pt idx="29">
                  <c:v>2020/21</c:v>
                </c:pt>
              </c:strCache>
            </c:strRef>
          </c:cat>
          <c:val>
            <c:numRef>
              <c:f>fy!$B$9:$AE$9</c:f>
              <c:numCache>
                <c:formatCode>General</c:formatCode>
                <c:ptCount val="30"/>
                <c:pt idx="0">
                  <c:v>4981</c:v>
                </c:pt>
                <c:pt idx="1">
                  <c:v>5462</c:v>
                </c:pt>
                <c:pt idx="2">
                  <c:v>8170</c:v>
                </c:pt>
                <c:pt idx="3">
                  <c:v>11560</c:v>
                </c:pt>
                <c:pt idx="4">
                  <c:v>11210</c:v>
                </c:pt>
                <c:pt idx="5">
                  <c:v>13410</c:v>
                </c:pt>
                <c:pt idx="6">
                  <c:v>15529</c:v>
                </c:pt>
                <c:pt idx="7">
                  <c:v>16064.3874</c:v>
                </c:pt>
                <c:pt idx="8">
                  <c:v>13607.6924</c:v>
                </c:pt>
                <c:pt idx="9">
                  <c:v>14762.679582000001</c:v>
                </c:pt>
                <c:pt idx="10">
                  <c:v>13392.8202</c:v>
                </c:pt>
                <c:pt idx="11">
                  <c:v>12647.7467</c:v>
                </c:pt>
                <c:pt idx="12">
                  <c:v>13598.660999999998</c:v>
                </c:pt>
                <c:pt idx="13">
                  <c:v>14569.47</c:v>
                </c:pt>
                <c:pt idx="14">
                  <c:v>14536.650730000001</c:v>
                </c:pt>
                <c:pt idx="15">
                  <c:v>16105.996110000002</c:v>
                </c:pt>
                <c:pt idx="16">
                  <c:v>24922.19166</c:v>
                </c:pt>
                <c:pt idx="17">
                  <c:v>20506.522799999999</c:v>
                </c:pt>
                <c:pt idx="18">
                  <c:v>21184.737136</c:v>
                </c:pt>
                <c:pt idx="19">
                  <c:v>20118.604969999997</c:v>
                </c:pt>
                <c:pt idx="20">
                  <c:v>21407.8822</c:v>
                </c:pt>
                <c:pt idx="21">
                  <c:v>21854.164499999995</c:v>
                </c:pt>
                <c:pt idx="22">
                  <c:v>21763.571509999998</c:v>
                </c:pt>
                <c:pt idx="23">
                  <c:v>20746.51928</c:v>
                </c:pt>
                <c:pt idx="24">
                  <c:v>21490.216520000002</c:v>
                </c:pt>
                <c:pt idx="25">
                  <c:v>20317.310000000001</c:v>
                </c:pt>
                <c:pt idx="26">
                  <c:v>22498.681</c:v>
                </c:pt>
                <c:pt idx="27">
                  <c:v>20782.271000000001</c:v>
                </c:pt>
                <c:pt idx="28">
                  <c:v>22807.647000000004</c:v>
                </c:pt>
                <c:pt idx="29">
                  <c:v>25038.157999999999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fy!$A$10</c:f>
              <c:strCache>
                <c:ptCount val="1"/>
                <c:pt idx="0">
                  <c:v>Loaded</c:v>
                </c:pt>
              </c:strCache>
            </c:strRef>
          </c:tx>
          <c:spPr>
            <a:ln w="222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fy!$B$3:$AE$3</c:f>
              <c:strCache>
                <c:ptCount val="30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  <c:pt idx="25">
                  <c:v>2016/17</c:v>
                </c:pt>
                <c:pt idx="26">
                  <c:v>2017/18</c:v>
                </c:pt>
                <c:pt idx="27">
                  <c:v>2018/19</c:v>
                </c:pt>
                <c:pt idx="28">
                  <c:v>2019/20</c:v>
                </c:pt>
                <c:pt idx="29">
                  <c:v>2020/21</c:v>
                </c:pt>
              </c:strCache>
            </c:strRef>
          </c:cat>
          <c:val>
            <c:numRef>
              <c:f>fy!$B$10:$AE$10</c:f>
              <c:numCache>
                <c:formatCode>General</c:formatCode>
                <c:ptCount val="30"/>
                <c:pt idx="0">
                  <c:v>1545</c:v>
                </c:pt>
                <c:pt idx="1">
                  <c:v>2131</c:v>
                </c:pt>
                <c:pt idx="2">
                  <c:v>4206</c:v>
                </c:pt>
                <c:pt idx="3">
                  <c:v>6207</c:v>
                </c:pt>
                <c:pt idx="4">
                  <c:v>10786</c:v>
                </c:pt>
                <c:pt idx="5">
                  <c:v>14484</c:v>
                </c:pt>
                <c:pt idx="6">
                  <c:v>11401</c:v>
                </c:pt>
                <c:pt idx="7">
                  <c:v>16274.654500000001</c:v>
                </c:pt>
                <c:pt idx="8">
                  <c:v>8804.8565999999992</c:v>
                </c:pt>
                <c:pt idx="9">
                  <c:v>18791.227999999999</c:v>
                </c:pt>
                <c:pt idx="10">
                  <c:v>22548.747100000001</c:v>
                </c:pt>
                <c:pt idx="11">
                  <c:v>21747.68765</c:v>
                </c:pt>
                <c:pt idx="12">
                  <c:v>27748.542100000002</c:v>
                </c:pt>
                <c:pt idx="13">
                  <c:v>37106.558449999997</c:v>
                </c:pt>
                <c:pt idx="14">
                  <c:v>37417.785900000003</c:v>
                </c:pt>
                <c:pt idx="15">
                  <c:v>39756.374849999993</c:v>
                </c:pt>
                <c:pt idx="16">
                  <c:v>40020.749190000002</c:v>
                </c:pt>
                <c:pt idx="17">
                  <c:v>34203.083399999996</c:v>
                </c:pt>
                <c:pt idx="18">
                  <c:v>29936.52648</c:v>
                </c:pt>
                <c:pt idx="19">
                  <c:v>26546.175300000003</c:v>
                </c:pt>
                <c:pt idx="20">
                  <c:v>31841.719400000002</c:v>
                </c:pt>
                <c:pt idx="21">
                  <c:v>35512.156200000005</c:v>
                </c:pt>
                <c:pt idx="22">
                  <c:v>32354.978499999997</c:v>
                </c:pt>
                <c:pt idx="23">
                  <c:v>31866.800399999996</c:v>
                </c:pt>
                <c:pt idx="24">
                  <c:v>35075.798000000003</c:v>
                </c:pt>
                <c:pt idx="25">
                  <c:v>45643.203999999991</c:v>
                </c:pt>
                <c:pt idx="26">
                  <c:v>45032.847000000009</c:v>
                </c:pt>
                <c:pt idx="27">
                  <c:v>41339.142999999996</c:v>
                </c:pt>
                <c:pt idx="28">
                  <c:v>37829.411999999997</c:v>
                </c:pt>
                <c:pt idx="29">
                  <c:v>38940.19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8099968"/>
        <c:axId val="-172704433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fy!$A$4</c15:sqref>
                        </c15:formulaRef>
                      </c:ext>
                    </c:extLst>
                    <c:strCache>
                      <c:ptCount val="1"/>
                      <c:pt idx="0">
                        <c:v>Over Flights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fy!$B$3:$AE$3</c15:sqref>
                        </c15:formulaRef>
                      </c:ext>
                    </c:extLst>
                    <c:strCache>
                      <c:ptCount val="30"/>
                      <c:pt idx="0">
                        <c:v>1991/92</c:v>
                      </c:pt>
                      <c:pt idx="1">
                        <c:v>1992/93</c:v>
                      </c:pt>
                      <c:pt idx="2">
                        <c:v>1993/94</c:v>
                      </c:pt>
                      <c:pt idx="3">
                        <c:v>1994/95</c:v>
                      </c:pt>
                      <c:pt idx="4">
                        <c:v>1995/96</c:v>
                      </c:pt>
                      <c:pt idx="5">
                        <c:v>1996/97</c:v>
                      </c:pt>
                      <c:pt idx="6">
                        <c:v>1997/98</c:v>
                      </c:pt>
                      <c:pt idx="7">
                        <c:v>1998/99</c:v>
                      </c:pt>
                      <c:pt idx="8">
                        <c:v>1999/00</c:v>
                      </c:pt>
                      <c:pt idx="9">
                        <c:v>2000/01</c:v>
                      </c:pt>
                      <c:pt idx="10">
                        <c:v>2001/02</c:v>
                      </c:pt>
                      <c:pt idx="11">
                        <c:v>2002/03</c:v>
                      </c:pt>
                      <c:pt idx="12">
                        <c:v>2003/04</c:v>
                      </c:pt>
                      <c:pt idx="13">
                        <c:v>2004/05</c:v>
                      </c:pt>
                      <c:pt idx="14">
                        <c:v>2005/06</c:v>
                      </c:pt>
                      <c:pt idx="15">
                        <c:v>2006/07</c:v>
                      </c:pt>
                      <c:pt idx="16">
                        <c:v>2007/08</c:v>
                      </c:pt>
                      <c:pt idx="17">
                        <c:v>2008/09</c:v>
                      </c:pt>
                      <c:pt idx="18">
                        <c:v>2009/10</c:v>
                      </c:pt>
                      <c:pt idx="19">
                        <c:v>2010/11</c:v>
                      </c:pt>
                      <c:pt idx="20">
                        <c:v>2011/12</c:v>
                      </c:pt>
                      <c:pt idx="21">
                        <c:v>2012/13</c:v>
                      </c:pt>
                      <c:pt idx="22">
                        <c:v>2013/14</c:v>
                      </c:pt>
                      <c:pt idx="23">
                        <c:v>2014/15</c:v>
                      </c:pt>
                      <c:pt idx="24">
                        <c:v>2015/16</c:v>
                      </c:pt>
                      <c:pt idx="25">
                        <c:v>2016/17</c:v>
                      </c:pt>
                      <c:pt idx="26">
                        <c:v>2017/18</c:v>
                      </c:pt>
                      <c:pt idx="27">
                        <c:v>2018/19</c:v>
                      </c:pt>
                      <c:pt idx="28">
                        <c:v>2019/20</c:v>
                      </c:pt>
                      <c:pt idx="29">
                        <c:v>2020/21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fy!$B$4:$AE$4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1754</c:v>
                      </c:pt>
                      <c:pt idx="1">
                        <c:v>1800</c:v>
                      </c:pt>
                      <c:pt idx="2">
                        <c:v>2098</c:v>
                      </c:pt>
                      <c:pt idx="3">
                        <c:v>2542</c:v>
                      </c:pt>
                      <c:pt idx="4">
                        <c:v>2736</c:v>
                      </c:pt>
                      <c:pt idx="5">
                        <c:v>3107</c:v>
                      </c:pt>
                      <c:pt idx="6">
                        <c:v>2592</c:v>
                      </c:pt>
                      <c:pt idx="7">
                        <c:v>3104</c:v>
                      </c:pt>
                      <c:pt idx="8">
                        <c:v>2821</c:v>
                      </c:pt>
                      <c:pt idx="9">
                        <c:v>3037</c:v>
                      </c:pt>
                      <c:pt idx="10">
                        <c:v>3117</c:v>
                      </c:pt>
                      <c:pt idx="11">
                        <c:v>3207</c:v>
                      </c:pt>
                      <c:pt idx="12">
                        <c:v>3443</c:v>
                      </c:pt>
                      <c:pt idx="13">
                        <c:v>4395</c:v>
                      </c:pt>
                      <c:pt idx="14">
                        <c:v>5997</c:v>
                      </c:pt>
                      <c:pt idx="15">
                        <c:v>6208</c:v>
                      </c:pt>
                      <c:pt idx="16">
                        <c:v>7589</c:v>
                      </c:pt>
                      <c:pt idx="17">
                        <c:v>8556</c:v>
                      </c:pt>
                      <c:pt idx="18">
                        <c:v>8825</c:v>
                      </c:pt>
                      <c:pt idx="19">
                        <c:v>10625</c:v>
                      </c:pt>
                      <c:pt idx="20">
                        <c:v>13648</c:v>
                      </c:pt>
                      <c:pt idx="21">
                        <c:v>13687</c:v>
                      </c:pt>
                      <c:pt idx="22">
                        <c:v>14155</c:v>
                      </c:pt>
                      <c:pt idx="23">
                        <c:v>15168</c:v>
                      </c:pt>
                      <c:pt idx="24">
                        <c:v>14397</c:v>
                      </c:pt>
                      <c:pt idx="25">
                        <c:v>15679</c:v>
                      </c:pt>
                      <c:pt idx="26">
                        <c:v>15581</c:v>
                      </c:pt>
                      <c:pt idx="27">
                        <c:v>15732</c:v>
                      </c:pt>
                      <c:pt idx="28">
                        <c:v>12363</c:v>
                      </c:pt>
                      <c:pt idx="29">
                        <c:v>10564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fy!$A$5</c15:sqref>
                        </c15:formulaRef>
                      </c:ext>
                    </c:extLst>
                    <c:strCache>
                      <c:ptCount val="1"/>
                      <c:pt idx="0">
                        <c:v>Transit Passengers</c:v>
                      </c:pt>
                    </c:strCache>
                  </c:strRef>
                </c:tx>
                <c:spPr>
                  <a:ln w="2222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fy!$B$3:$AE$3</c15:sqref>
                        </c15:formulaRef>
                      </c:ext>
                    </c:extLst>
                    <c:strCache>
                      <c:ptCount val="30"/>
                      <c:pt idx="0">
                        <c:v>1991/92</c:v>
                      </c:pt>
                      <c:pt idx="1">
                        <c:v>1992/93</c:v>
                      </c:pt>
                      <c:pt idx="2">
                        <c:v>1993/94</c:v>
                      </c:pt>
                      <c:pt idx="3">
                        <c:v>1994/95</c:v>
                      </c:pt>
                      <c:pt idx="4">
                        <c:v>1995/96</c:v>
                      </c:pt>
                      <c:pt idx="5">
                        <c:v>1996/97</c:v>
                      </c:pt>
                      <c:pt idx="6">
                        <c:v>1997/98</c:v>
                      </c:pt>
                      <c:pt idx="7">
                        <c:v>1998/99</c:v>
                      </c:pt>
                      <c:pt idx="8">
                        <c:v>1999/00</c:v>
                      </c:pt>
                      <c:pt idx="9">
                        <c:v>2000/01</c:v>
                      </c:pt>
                      <c:pt idx="10">
                        <c:v>2001/02</c:v>
                      </c:pt>
                      <c:pt idx="11">
                        <c:v>2002/03</c:v>
                      </c:pt>
                      <c:pt idx="12">
                        <c:v>2003/04</c:v>
                      </c:pt>
                      <c:pt idx="13">
                        <c:v>2004/05</c:v>
                      </c:pt>
                      <c:pt idx="14">
                        <c:v>2005/06</c:v>
                      </c:pt>
                      <c:pt idx="15">
                        <c:v>2006/07</c:v>
                      </c:pt>
                      <c:pt idx="16">
                        <c:v>2007/08</c:v>
                      </c:pt>
                      <c:pt idx="17">
                        <c:v>2008/09</c:v>
                      </c:pt>
                      <c:pt idx="18">
                        <c:v>2009/10</c:v>
                      </c:pt>
                      <c:pt idx="19">
                        <c:v>2010/11</c:v>
                      </c:pt>
                      <c:pt idx="20">
                        <c:v>2011/12</c:v>
                      </c:pt>
                      <c:pt idx="21">
                        <c:v>2012/13</c:v>
                      </c:pt>
                      <c:pt idx="22">
                        <c:v>2013/14</c:v>
                      </c:pt>
                      <c:pt idx="23">
                        <c:v>2014/15</c:v>
                      </c:pt>
                      <c:pt idx="24">
                        <c:v>2015/16</c:v>
                      </c:pt>
                      <c:pt idx="25">
                        <c:v>2016/17</c:v>
                      </c:pt>
                      <c:pt idx="26">
                        <c:v>2017/18</c:v>
                      </c:pt>
                      <c:pt idx="27">
                        <c:v>2018/19</c:v>
                      </c:pt>
                      <c:pt idx="28">
                        <c:v>2019/20</c:v>
                      </c:pt>
                      <c:pt idx="29">
                        <c:v>2020/21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fy!$B$5:$AE$5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33535</c:v>
                      </c:pt>
                      <c:pt idx="1">
                        <c:v>38508</c:v>
                      </c:pt>
                      <c:pt idx="2">
                        <c:v>56946</c:v>
                      </c:pt>
                      <c:pt idx="3">
                        <c:v>52884</c:v>
                      </c:pt>
                      <c:pt idx="4">
                        <c:v>49356</c:v>
                      </c:pt>
                      <c:pt idx="5">
                        <c:v>56591</c:v>
                      </c:pt>
                      <c:pt idx="6">
                        <c:v>68763</c:v>
                      </c:pt>
                      <c:pt idx="7">
                        <c:v>78630</c:v>
                      </c:pt>
                      <c:pt idx="8">
                        <c:v>66792</c:v>
                      </c:pt>
                      <c:pt idx="9">
                        <c:v>57427</c:v>
                      </c:pt>
                      <c:pt idx="10">
                        <c:v>29208</c:v>
                      </c:pt>
                      <c:pt idx="11">
                        <c:v>35324</c:v>
                      </c:pt>
                      <c:pt idx="12">
                        <c:v>24978</c:v>
                      </c:pt>
                      <c:pt idx="13">
                        <c:v>25407</c:v>
                      </c:pt>
                      <c:pt idx="14">
                        <c:v>39783</c:v>
                      </c:pt>
                      <c:pt idx="15">
                        <c:v>38031</c:v>
                      </c:pt>
                      <c:pt idx="16">
                        <c:v>31135</c:v>
                      </c:pt>
                      <c:pt idx="17">
                        <c:v>46710</c:v>
                      </c:pt>
                      <c:pt idx="18">
                        <c:v>55903</c:v>
                      </c:pt>
                      <c:pt idx="19">
                        <c:v>80668</c:v>
                      </c:pt>
                      <c:pt idx="20">
                        <c:v>77341</c:v>
                      </c:pt>
                      <c:pt idx="21">
                        <c:v>91633</c:v>
                      </c:pt>
                      <c:pt idx="22">
                        <c:v>95181</c:v>
                      </c:pt>
                      <c:pt idx="23">
                        <c:v>107016</c:v>
                      </c:pt>
                      <c:pt idx="24">
                        <c:v>140678</c:v>
                      </c:pt>
                      <c:pt idx="25">
                        <c:v>123498</c:v>
                      </c:pt>
                      <c:pt idx="26">
                        <c:v>122334</c:v>
                      </c:pt>
                      <c:pt idx="27">
                        <c:v>192892</c:v>
                      </c:pt>
                      <c:pt idx="28">
                        <c:v>133659</c:v>
                      </c:pt>
                      <c:pt idx="29">
                        <c:v>41310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fy!$A$6</c15:sqref>
                        </c15:formulaRef>
                      </c:ext>
                    </c:extLst>
                    <c:strCache>
                      <c:ptCount val="1"/>
                      <c:pt idx="0">
                        <c:v>Commercial Aircraft movts</c:v>
                      </c:pt>
                    </c:strCache>
                  </c:strRef>
                </c:tx>
                <c:spPr>
                  <a:ln w="2222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fy!$B$3:$AE$3</c15:sqref>
                        </c15:formulaRef>
                      </c:ext>
                    </c:extLst>
                    <c:strCache>
                      <c:ptCount val="30"/>
                      <c:pt idx="0">
                        <c:v>1991/92</c:v>
                      </c:pt>
                      <c:pt idx="1">
                        <c:v>1992/93</c:v>
                      </c:pt>
                      <c:pt idx="2">
                        <c:v>1993/94</c:v>
                      </c:pt>
                      <c:pt idx="3">
                        <c:v>1994/95</c:v>
                      </c:pt>
                      <c:pt idx="4">
                        <c:v>1995/96</c:v>
                      </c:pt>
                      <c:pt idx="5">
                        <c:v>1996/97</c:v>
                      </c:pt>
                      <c:pt idx="6">
                        <c:v>1997/98</c:v>
                      </c:pt>
                      <c:pt idx="7">
                        <c:v>1998/99</c:v>
                      </c:pt>
                      <c:pt idx="8">
                        <c:v>1999/00</c:v>
                      </c:pt>
                      <c:pt idx="9">
                        <c:v>2000/01</c:v>
                      </c:pt>
                      <c:pt idx="10">
                        <c:v>2001/02</c:v>
                      </c:pt>
                      <c:pt idx="11">
                        <c:v>2002/03</c:v>
                      </c:pt>
                      <c:pt idx="12">
                        <c:v>2003/04</c:v>
                      </c:pt>
                      <c:pt idx="13">
                        <c:v>2004/05</c:v>
                      </c:pt>
                      <c:pt idx="14">
                        <c:v>2005/06</c:v>
                      </c:pt>
                      <c:pt idx="15">
                        <c:v>2006/07</c:v>
                      </c:pt>
                      <c:pt idx="16">
                        <c:v>2007/08</c:v>
                      </c:pt>
                      <c:pt idx="17">
                        <c:v>2008/09</c:v>
                      </c:pt>
                      <c:pt idx="18">
                        <c:v>2009/10</c:v>
                      </c:pt>
                      <c:pt idx="19">
                        <c:v>2010/11</c:v>
                      </c:pt>
                      <c:pt idx="20">
                        <c:v>2011/12</c:v>
                      </c:pt>
                      <c:pt idx="21">
                        <c:v>2012/13</c:v>
                      </c:pt>
                      <c:pt idx="22">
                        <c:v>2013/14</c:v>
                      </c:pt>
                      <c:pt idx="23">
                        <c:v>2014/15</c:v>
                      </c:pt>
                      <c:pt idx="24">
                        <c:v>2015/16</c:v>
                      </c:pt>
                      <c:pt idx="25">
                        <c:v>2016/17</c:v>
                      </c:pt>
                      <c:pt idx="26">
                        <c:v>2017/18</c:v>
                      </c:pt>
                      <c:pt idx="27">
                        <c:v>2018/19</c:v>
                      </c:pt>
                      <c:pt idx="28">
                        <c:v>2019/20</c:v>
                      </c:pt>
                      <c:pt idx="29">
                        <c:v>2020/21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fy!$B$6:$AE$6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6379</c:v>
                      </c:pt>
                      <c:pt idx="1">
                        <c:v>9035</c:v>
                      </c:pt>
                      <c:pt idx="2">
                        <c:v>9284</c:v>
                      </c:pt>
                      <c:pt idx="3">
                        <c:v>12391</c:v>
                      </c:pt>
                      <c:pt idx="4">
                        <c:v>13407</c:v>
                      </c:pt>
                      <c:pt idx="5">
                        <c:v>16015</c:v>
                      </c:pt>
                      <c:pt idx="6">
                        <c:v>15945</c:v>
                      </c:pt>
                      <c:pt idx="7">
                        <c:v>17797</c:v>
                      </c:pt>
                      <c:pt idx="8">
                        <c:v>16588</c:v>
                      </c:pt>
                      <c:pt idx="9">
                        <c:v>15971</c:v>
                      </c:pt>
                      <c:pt idx="10">
                        <c:v>13500</c:v>
                      </c:pt>
                      <c:pt idx="11">
                        <c:v>16064</c:v>
                      </c:pt>
                      <c:pt idx="12">
                        <c:v>17523</c:v>
                      </c:pt>
                      <c:pt idx="13">
                        <c:v>16703</c:v>
                      </c:pt>
                      <c:pt idx="14">
                        <c:v>18161</c:v>
                      </c:pt>
                      <c:pt idx="15">
                        <c:v>21220</c:v>
                      </c:pt>
                      <c:pt idx="16">
                        <c:v>23077</c:v>
                      </c:pt>
                      <c:pt idx="17">
                        <c:v>22468</c:v>
                      </c:pt>
                      <c:pt idx="18">
                        <c:v>21781</c:v>
                      </c:pt>
                      <c:pt idx="19">
                        <c:v>24051</c:v>
                      </c:pt>
                      <c:pt idx="20">
                        <c:v>27732</c:v>
                      </c:pt>
                      <c:pt idx="21">
                        <c:v>29882</c:v>
                      </c:pt>
                      <c:pt idx="22">
                        <c:v>30258</c:v>
                      </c:pt>
                      <c:pt idx="23">
                        <c:v>25583</c:v>
                      </c:pt>
                      <c:pt idx="24">
                        <c:v>28073</c:v>
                      </c:pt>
                      <c:pt idx="25">
                        <c:v>29159</c:v>
                      </c:pt>
                      <c:pt idx="26">
                        <c:v>29781</c:v>
                      </c:pt>
                      <c:pt idx="27">
                        <c:v>32743</c:v>
                      </c:pt>
                      <c:pt idx="28">
                        <c:v>26185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fy!$A$7</c15:sqref>
                        </c15:formulaRef>
                      </c:ext>
                    </c:extLst>
                    <c:strCache>
                      <c:ptCount val="1"/>
                      <c:pt idx="0">
                        <c:v>Domestic Passengers</c:v>
                      </c:pt>
                    </c:strCache>
                  </c:strRef>
                </c:tx>
                <c:spPr>
                  <a:ln w="2222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fy!$B$3:$AE$3</c15:sqref>
                        </c15:formulaRef>
                      </c:ext>
                    </c:extLst>
                    <c:strCache>
                      <c:ptCount val="30"/>
                      <c:pt idx="0">
                        <c:v>1991/92</c:v>
                      </c:pt>
                      <c:pt idx="1">
                        <c:v>1992/93</c:v>
                      </c:pt>
                      <c:pt idx="2">
                        <c:v>1993/94</c:v>
                      </c:pt>
                      <c:pt idx="3">
                        <c:v>1994/95</c:v>
                      </c:pt>
                      <c:pt idx="4">
                        <c:v>1995/96</c:v>
                      </c:pt>
                      <c:pt idx="5">
                        <c:v>1996/97</c:v>
                      </c:pt>
                      <c:pt idx="6">
                        <c:v>1997/98</c:v>
                      </c:pt>
                      <c:pt idx="7">
                        <c:v>1998/99</c:v>
                      </c:pt>
                      <c:pt idx="8">
                        <c:v>1999/00</c:v>
                      </c:pt>
                      <c:pt idx="9">
                        <c:v>2000/01</c:v>
                      </c:pt>
                      <c:pt idx="10">
                        <c:v>2001/02</c:v>
                      </c:pt>
                      <c:pt idx="11">
                        <c:v>2002/03</c:v>
                      </c:pt>
                      <c:pt idx="12">
                        <c:v>2003/04</c:v>
                      </c:pt>
                      <c:pt idx="13">
                        <c:v>2004/05</c:v>
                      </c:pt>
                      <c:pt idx="14">
                        <c:v>2005/06</c:v>
                      </c:pt>
                      <c:pt idx="15">
                        <c:v>2006/07</c:v>
                      </c:pt>
                      <c:pt idx="16">
                        <c:v>2007/08</c:v>
                      </c:pt>
                      <c:pt idx="17">
                        <c:v>2008/09</c:v>
                      </c:pt>
                      <c:pt idx="18">
                        <c:v>2009/10</c:v>
                      </c:pt>
                      <c:pt idx="19">
                        <c:v>2010/11</c:v>
                      </c:pt>
                      <c:pt idx="20">
                        <c:v>2011/12</c:v>
                      </c:pt>
                      <c:pt idx="21">
                        <c:v>2012/13</c:v>
                      </c:pt>
                      <c:pt idx="22">
                        <c:v>2013/14</c:v>
                      </c:pt>
                      <c:pt idx="23">
                        <c:v>2014/15</c:v>
                      </c:pt>
                      <c:pt idx="24">
                        <c:v>2015/16</c:v>
                      </c:pt>
                      <c:pt idx="25">
                        <c:v>2016/17</c:v>
                      </c:pt>
                      <c:pt idx="26">
                        <c:v>2017/18</c:v>
                      </c:pt>
                      <c:pt idx="27">
                        <c:v>2018/19</c:v>
                      </c:pt>
                      <c:pt idx="28">
                        <c:v>2019/20</c:v>
                      </c:pt>
                      <c:pt idx="29">
                        <c:v>2020/21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fy!$B$7:$AE$7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fy!$A$8</c15:sqref>
                        </c15:formulaRef>
                      </c:ext>
                    </c:extLst>
                    <c:strCache>
                      <c:ptCount val="1"/>
                      <c:pt idx="0">
                        <c:v>International Passengers</c:v>
                      </c:pt>
                    </c:strCache>
                  </c:strRef>
                </c:tx>
                <c:spPr>
                  <a:ln w="2222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fy!$B$3:$AE$3</c15:sqref>
                        </c15:formulaRef>
                      </c:ext>
                    </c:extLst>
                    <c:strCache>
                      <c:ptCount val="30"/>
                      <c:pt idx="0">
                        <c:v>1991/92</c:v>
                      </c:pt>
                      <c:pt idx="1">
                        <c:v>1992/93</c:v>
                      </c:pt>
                      <c:pt idx="2">
                        <c:v>1993/94</c:v>
                      </c:pt>
                      <c:pt idx="3">
                        <c:v>1994/95</c:v>
                      </c:pt>
                      <c:pt idx="4">
                        <c:v>1995/96</c:v>
                      </c:pt>
                      <c:pt idx="5">
                        <c:v>1996/97</c:v>
                      </c:pt>
                      <c:pt idx="6">
                        <c:v>1997/98</c:v>
                      </c:pt>
                      <c:pt idx="7">
                        <c:v>1998/99</c:v>
                      </c:pt>
                      <c:pt idx="8">
                        <c:v>1999/00</c:v>
                      </c:pt>
                      <c:pt idx="9">
                        <c:v>2000/01</c:v>
                      </c:pt>
                      <c:pt idx="10">
                        <c:v>2001/02</c:v>
                      </c:pt>
                      <c:pt idx="11">
                        <c:v>2002/03</c:v>
                      </c:pt>
                      <c:pt idx="12">
                        <c:v>2003/04</c:v>
                      </c:pt>
                      <c:pt idx="13">
                        <c:v>2004/05</c:v>
                      </c:pt>
                      <c:pt idx="14">
                        <c:v>2005/06</c:v>
                      </c:pt>
                      <c:pt idx="15">
                        <c:v>2006/07</c:v>
                      </c:pt>
                      <c:pt idx="16">
                        <c:v>2007/08</c:v>
                      </c:pt>
                      <c:pt idx="17">
                        <c:v>2008/09</c:v>
                      </c:pt>
                      <c:pt idx="18">
                        <c:v>2009/10</c:v>
                      </c:pt>
                      <c:pt idx="19">
                        <c:v>2010/11</c:v>
                      </c:pt>
                      <c:pt idx="20">
                        <c:v>2011/12</c:v>
                      </c:pt>
                      <c:pt idx="21">
                        <c:v>2012/13</c:v>
                      </c:pt>
                      <c:pt idx="22">
                        <c:v>2013/14</c:v>
                      </c:pt>
                      <c:pt idx="23">
                        <c:v>2014/15</c:v>
                      </c:pt>
                      <c:pt idx="24">
                        <c:v>2015/16</c:v>
                      </c:pt>
                      <c:pt idx="25">
                        <c:v>2016/17</c:v>
                      </c:pt>
                      <c:pt idx="26">
                        <c:v>2017/18</c:v>
                      </c:pt>
                      <c:pt idx="27">
                        <c:v>2018/19</c:v>
                      </c:pt>
                      <c:pt idx="28">
                        <c:v>2019/20</c:v>
                      </c:pt>
                      <c:pt idx="29">
                        <c:v>2020/21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fy!$B$8:$AE$8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121431</c:v>
                      </c:pt>
                      <c:pt idx="1">
                        <c:v>137622</c:v>
                      </c:pt>
                      <c:pt idx="2">
                        <c:v>164070</c:v>
                      </c:pt>
                      <c:pt idx="3">
                        <c:v>221246</c:v>
                      </c:pt>
                      <c:pt idx="4">
                        <c:v>277357</c:v>
                      </c:pt>
                      <c:pt idx="5">
                        <c:v>315898</c:v>
                      </c:pt>
                      <c:pt idx="6">
                        <c:v>334646</c:v>
                      </c:pt>
                      <c:pt idx="7">
                        <c:v>334530</c:v>
                      </c:pt>
                      <c:pt idx="8">
                        <c:v>347313</c:v>
                      </c:pt>
                      <c:pt idx="9">
                        <c:v>341389</c:v>
                      </c:pt>
                      <c:pt idx="10">
                        <c:v>348707</c:v>
                      </c:pt>
                      <c:pt idx="11">
                        <c:v>390290</c:v>
                      </c:pt>
                      <c:pt idx="12">
                        <c:v>437050</c:v>
                      </c:pt>
                      <c:pt idx="13">
                        <c:v>515656</c:v>
                      </c:pt>
                      <c:pt idx="14">
                        <c:v>581124</c:v>
                      </c:pt>
                      <c:pt idx="15">
                        <c:v>716683</c:v>
                      </c:pt>
                      <c:pt idx="16">
                        <c:v>868473</c:v>
                      </c:pt>
                      <c:pt idx="17">
                        <c:v>918559</c:v>
                      </c:pt>
                      <c:pt idx="18">
                        <c:v>968348</c:v>
                      </c:pt>
                      <c:pt idx="19">
                        <c:v>1048507</c:v>
                      </c:pt>
                      <c:pt idx="20">
                        <c:v>1178730</c:v>
                      </c:pt>
                      <c:pt idx="21">
                        <c:v>1292202</c:v>
                      </c:pt>
                      <c:pt idx="22">
                        <c:v>1351058</c:v>
                      </c:pt>
                      <c:pt idx="23">
                        <c:v>1337261</c:v>
                      </c:pt>
                      <c:pt idx="24">
                        <c:v>1363484</c:v>
                      </c:pt>
                      <c:pt idx="25">
                        <c:v>1468176</c:v>
                      </c:pt>
                      <c:pt idx="26">
                        <c:v>1582670</c:v>
                      </c:pt>
                      <c:pt idx="27">
                        <c:v>1728783</c:v>
                      </c:pt>
                      <c:pt idx="28">
                        <c:v>1355772</c:v>
                      </c:pt>
                      <c:pt idx="29">
                        <c:v>580238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-1568099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7044336"/>
        <c:crosses val="autoZero"/>
        <c:auto val="1"/>
        <c:lblAlgn val="ctr"/>
        <c:lblOffset val="100"/>
        <c:noMultiLvlLbl val="0"/>
      </c:catAx>
      <c:valAx>
        <c:axId val="-172704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6809996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50</xdr:row>
      <xdr:rowOff>0</xdr:rowOff>
    </xdr:from>
    <xdr:to>
      <xdr:col>17</xdr:col>
      <xdr:colOff>228600</xdr:colOff>
      <xdr:row>55</xdr:row>
      <xdr:rowOff>0</xdr:rowOff>
    </xdr:to>
    <xdr:sp macro="" textlink="">
      <xdr:nvSpPr>
        <xdr:cNvPr id="3" name="Picture 3"/>
        <xdr:cNvSpPr>
          <a:spLocks noChangeArrowheads="1" noChangeShapeType="1"/>
        </xdr:cNvSpPr>
      </xdr:nvSpPr>
      <xdr:spPr bwMode="auto">
        <a:xfrm>
          <a:off x="114300" y="6057900"/>
          <a:ext cx="9829800" cy="1200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BFBFBF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114300</xdr:colOff>
      <xdr:row>84</xdr:row>
      <xdr:rowOff>76200</xdr:rowOff>
    </xdr:from>
    <xdr:to>
      <xdr:col>20</xdr:col>
      <xdr:colOff>466725</xdr:colOff>
      <xdr:row>109</xdr:row>
      <xdr:rowOff>19050</xdr:rowOff>
    </xdr:to>
    <xdr:sp macro="" textlink="">
      <xdr:nvSpPr>
        <xdr:cNvPr id="4" name="Picture 3"/>
        <xdr:cNvSpPr>
          <a:spLocks noChangeArrowheads="1" noChangeShapeType="1"/>
        </xdr:cNvSpPr>
      </xdr:nvSpPr>
      <xdr:spPr bwMode="auto">
        <a:xfrm>
          <a:off x="114300" y="1714500"/>
          <a:ext cx="9925050" cy="3714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BFBFBF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20</xdr:col>
      <xdr:colOff>238125</xdr:colOff>
      <xdr:row>113</xdr:row>
      <xdr:rowOff>123825</xdr:rowOff>
    </xdr:to>
    <xdr:sp macro="" textlink="">
      <xdr:nvSpPr>
        <xdr:cNvPr id="5" name="Picture 6"/>
        <xdr:cNvSpPr>
          <a:spLocks noChangeArrowheads="1" noChangeShapeType="1"/>
        </xdr:cNvSpPr>
      </xdr:nvSpPr>
      <xdr:spPr bwMode="auto">
        <a:xfrm>
          <a:off x="0" y="6019800"/>
          <a:ext cx="9810750" cy="828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BFBFBF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19050</xdr:colOff>
      <xdr:row>81</xdr:row>
      <xdr:rowOff>76200</xdr:rowOff>
    </xdr:from>
    <xdr:to>
      <xdr:col>20</xdr:col>
      <xdr:colOff>457200</xdr:colOff>
      <xdr:row>108</xdr:row>
      <xdr:rowOff>38100</xdr:rowOff>
    </xdr:to>
    <xdr:sp macro="" textlink="">
      <xdr:nvSpPr>
        <xdr:cNvPr id="6" name="Picture 4"/>
        <xdr:cNvSpPr>
          <a:spLocks noChangeArrowheads="1" noChangeShapeType="1"/>
        </xdr:cNvSpPr>
      </xdr:nvSpPr>
      <xdr:spPr bwMode="auto">
        <a:xfrm>
          <a:off x="19050" y="16030575"/>
          <a:ext cx="12744450" cy="5143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BFBFBF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19050</xdr:colOff>
      <xdr:row>109</xdr:row>
      <xdr:rowOff>76200</xdr:rowOff>
    </xdr:from>
    <xdr:to>
      <xdr:col>20</xdr:col>
      <xdr:colOff>28575</xdr:colOff>
      <xdr:row>115</xdr:row>
      <xdr:rowOff>28575</xdr:rowOff>
    </xdr:to>
    <xdr:sp macro="" textlink="">
      <xdr:nvSpPr>
        <xdr:cNvPr id="7" name="Picture 5"/>
        <xdr:cNvSpPr>
          <a:spLocks noChangeArrowheads="1" noChangeShapeType="1"/>
        </xdr:cNvSpPr>
      </xdr:nvSpPr>
      <xdr:spPr bwMode="auto">
        <a:xfrm>
          <a:off x="628650" y="5486400"/>
          <a:ext cx="8972550" cy="160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BFBFBF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</xdr:colOff>
      <xdr:row>12</xdr:row>
      <xdr:rowOff>157161</xdr:rowOff>
    </xdr:from>
    <xdr:to>
      <xdr:col>24</xdr:col>
      <xdr:colOff>19050</xdr:colOff>
      <xdr:row>31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13"/>
  <sheetViews>
    <sheetView tabSelected="1" topLeftCell="A40" workbookViewId="0">
      <pane xSplit="1" topLeftCell="M1" activePane="topRight" state="frozen"/>
      <selection pane="topRight" activeCell="AH71" sqref="AH71"/>
    </sheetView>
  </sheetViews>
  <sheetFormatPr defaultColWidth="9.140625" defaultRowHeight="15" x14ac:dyDescent="0.25"/>
  <cols>
    <col min="1" max="1" width="9.140625" style="35"/>
    <col min="2" max="2" width="9.5703125" style="35" bestFit="1" customWidth="1"/>
    <col min="3" max="19" width="9.140625" style="35"/>
    <col min="20" max="20" width="10.85546875" style="35" customWidth="1"/>
    <col min="21" max="21" width="11" style="35" customWidth="1"/>
    <col min="22" max="22" width="10.42578125" style="35" customWidth="1"/>
    <col min="23" max="23" width="10.140625" style="35" customWidth="1"/>
    <col min="24" max="24" width="10.42578125" style="35" customWidth="1"/>
    <col min="25" max="25" width="11" style="35" customWidth="1"/>
    <col min="26" max="26" width="11.140625" style="35" customWidth="1"/>
    <col min="27" max="27" width="10.5703125" style="35" bestFit="1" customWidth="1"/>
    <col min="28" max="28" width="10.140625" style="35" customWidth="1"/>
    <col min="29" max="29" width="10.42578125" style="35" customWidth="1"/>
    <col min="30" max="30" width="11" style="35" customWidth="1"/>
    <col min="31" max="31" width="10.28515625" style="35" customWidth="1"/>
    <col min="32" max="32" width="10.28515625" style="35" bestFit="1" customWidth="1"/>
    <col min="33" max="33" width="10.5703125" style="35" customWidth="1"/>
    <col min="34" max="34" width="9.7109375" style="35" customWidth="1"/>
    <col min="35" max="16384" width="9.140625" style="35"/>
  </cols>
  <sheetData>
    <row r="2" spans="1:34" x14ac:dyDescent="0.25"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34" x14ac:dyDescent="0.25">
      <c r="G3" s="39"/>
      <c r="H3" s="177" t="s">
        <v>14</v>
      </c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39"/>
      <c r="W3" s="39"/>
      <c r="X3" s="39"/>
      <c r="Y3" s="39"/>
      <c r="Z3" s="39"/>
    </row>
    <row r="4" spans="1:34" ht="15.75" thickBot="1" x14ac:dyDescent="0.3"/>
    <row r="5" spans="1:34" ht="15.75" thickTop="1" x14ac:dyDescent="0.25">
      <c r="A5" s="40" t="s">
        <v>0</v>
      </c>
      <c r="B5" s="41">
        <v>1991</v>
      </c>
      <c r="C5" s="2">
        <v>1992</v>
      </c>
      <c r="D5" s="2">
        <v>1993</v>
      </c>
      <c r="E5" s="2">
        <v>1994</v>
      </c>
      <c r="F5" s="2">
        <v>1995</v>
      </c>
      <c r="G5" s="2">
        <v>1996</v>
      </c>
      <c r="H5" s="2">
        <v>1997</v>
      </c>
      <c r="I5" s="1">
        <v>1998</v>
      </c>
      <c r="J5" s="1">
        <v>1999</v>
      </c>
      <c r="K5" s="2">
        <v>2000</v>
      </c>
      <c r="L5" s="14">
        <v>2001</v>
      </c>
      <c r="M5" s="1">
        <v>2002</v>
      </c>
      <c r="N5" s="2">
        <v>2003</v>
      </c>
      <c r="O5" s="2">
        <v>2004</v>
      </c>
      <c r="P5" s="2">
        <v>2005</v>
      </c>
      <c r="Q5" s="14">
        <v>2006</v>
      </c>
      <c r="R5" s="1">
        <v>2007</v>
      </c>
      <c r="S5" s="2">
        <v>2008</v>
      </c>
      <c r="T5" s="1">
        <v>2009</v>
      </c>
      <c r="U5" s="2">
        <v>2010</v>
      </c>
      <c r="V5" s="1">
        <v>2011</v>
      </c>
      <c r="W5" s="2">
        <v>2012</v>
      </c>
      <c r="X5" s="1">
        <v>2013</v>
      </c>
      <c r="Y5" s="1">
        <v>2014</v>
      </c>
      <c r="Z5" s="1">
        <v>2015</v>
      </c>
      <c r="AA5" s="1">
        <v>2016</v>
      </c>
      <c r="AB5" s="1">
        <v>2017</v>
      </c>
      <c r="AC5" s="1">
        <v>2018</v>
      </c>
      <c r="AD5" s="3">
        <v>2019</v>
      </c>
      <c r="AE5" s="3">
        <v>2020</v>
      </c>
      <c r="AF5" s="3">
        <v>2021</v>
      </c>
      <c r="AG5" s="3">
        <v>2022</v>
      </c>
      <c r="AH5" s="3">
        <v>2023</v>
      </c>
    </row>
    <row r="6" spans="1:34" x14ac:dyDescent="0.25">
      <c r="A6" s="30" t="s">
        <v>1</v>
      </c>
      <c r="B6" s="42">
        <v>441</v>
      </c>
      <c r="C6" s="4">
        <v>577</v>
      </c>
      <c r="D6" s="4">
        <v>730</v>
      </c>
      <c r="E6" s="4">
        <v>740</v>
      </c>
      <c r="F6" s="4">
        <v>1025</v>
      </c>
      <c r="G6" s="4">
        <v>1095</v>
      </c>
      <c r="H6" s="4">
        <v>1233</v>
      </c>
      <c r="I6" s="6">
        <v>1252</v>
      </c>
      <c r="J6" s="6">
        <v>1520</v>
      </c>
      <c r="K6" s="4">
        <v>1267</v>
      </c>
      <c r="L6" s="33">
        <v>1376</v>
      </c>
      <c r="M6" s="43">
        <v>1065</v>
      </c>
      <c r="N6" s="4">
        <v>1405</v>
      </c>
      <c r="O6" s="44">
        <v>1337</v>
      </c>
      <c r="P6" s="44">
        <v>1351</v>
      </c>
      <c r="Q6" s="45">
        <v>1513</v>
      </c>
      <c r="R6" s="5">
        <v>1763</v>
      </c>
      <c r="S6" s="4">
        <v>1930</v>
      </c>
      <c r="T6" s="5">
        <v>1719</v>
      </c>
      <c r="U6" s="4">
        <v>1835</v>
      </c>
      <c r="V6" s="5">
        <v>1960</v>
      </c>
      <c r="W6" s="4">
        <v>2394</v>
      </c>
      <c r="X6" s="5">
        <v>2420</v>
      </c>
      <c r="Y6" s="5">
        <v>2573</v>
      </c>
      <c r="Z6" s="5">
        <v>2200</v>
      </c>
      <c r="AA6" s="5">
        <v>2359</v>
      </c>
      <c r="AB6" s="5">
        <v>2471</v>
      </c>
      <c r="AC6" s="5">
        <v>2488</v>
      </c>
      <c r="AD6" s="46">
        <v>2769</v>
      </c>
      <c r="AE6" s="46">
        <v>3036</v>
      </c>
      <c r="AF6" s="46">
        <v>1400</v>
      </c>
      <c r="AG6" s="46">
        <v>2266</v>
      </c>
      <c r="AH6" s="46">
        <v>2523</v>
      </c>
    </row>
    <row r="7" spans="1:34" x14ac:dyDescent="0.25">
      <c r="A7" s="30" t="s">
        <v>2</v>
      </c>
      <c r="B7" s="42">
        <v>404</v>
      </c>
      <c r="C7" s="4">
        <v>580</v>
      </c>
      <c r="D7" s="4">
        <v>700</v>
      </c>
      <c r="E7" s="4">
        <v>724</v>
      </c>
      <c r="F7" s="4">
        <v>984</v>
      </c>
      <c r="G7" s="4">
        <v>1020</v>
      </c>
      <c r="H7" s="4">
        <v>1100</v>
      </c>
      <c r="I7" s="6">
        <v>1261</v>
      </c>
      <c r="J7" s="6">
        <v>1429</v>
      </c>
      <c r="K7" s="4">
        <v>1185</v>
      </c>
      <c r="L7" s="33">
        <v>1270</v>
      </c>
      <c r="M7" s="47">
        <v>1013</v>
      </c>
      <c r="N7" s="4">
        <v>1242</v>
      </c>
      <c r="O7" s="48">
        <v>1318</v>
      </c>
      <c r="P7" s="48">
        <v>1390</v>
      </c>
      <c r="Q7" s="49">
        <v>1470</v>
      </c>
      <c r="R7" s="5">
        <v>1800</v>
      </c>
      <c r="S7" s="4">
        <v>1888</v>
      </c>
      <c r="T7" s="5">
        <v>1764</v>
      </c>
      <c r="U7" s="4">
        <v>1698</v>
      </c>
      <c r="V7" s="5">
        <v>1768</v>
      </c>
      <c r="W7" s="4">
        <v>2325</v>
      </c>
      <c r="X7" s="5">
        <v>2244</v>
      </c>
      <c r="Y7" s="5">
        <v>2338</v>
      </c>
      <c r="Z7" s="5">
        <v>2068</v>
      </c>
      <c r="AA7" s="5">
        <v>2157</v>
      </c>
      <c r="AB7" s="5">
        <v>2292</v>
      </c>
      <c r="AC7" s="5">
        <v>2367</v>
      </c>
      <c r="AD7" s="46">
        <v>2471</v>
      </c>
      <c r="AE7" s="46">
        <v>2804</v>
      </c>
      <c r="AF7" s="46">
        <v>1438</v>
      </c>
      <c r="AG7" s="46">
        <v>2056</v>
      </c>
      <c r="AH7" s="46">
        <v>2370</v>
      </c>
    </row>
    <row r="8" spans="1:34" x14ac:dyDescent="0.25">
      <c r="A8" s="30" t="s">
        <v>3</v>
      </c>
      <c r="B8" s="42">
        <v>461</v>
      </c>
      <c r="C8" s="4">
        <v>560</v>
      </c>
      <c r="D8" s="4">
        <v>935</v>
      </c>
      <c r="E8" s="4">
        <v>811</v>
      </c>
      <c r="F8" s="4">
        <v>1086</v>
      </c>
      <c r="G8" s="4">
        <v>1191</v>
      </c>
      <c r="H8" s="4">
        <v>1167</v>
      </c>
      <c r="I8" s="6">
        <v>1528</v>
      </c>
      <c r="J8" s="6">
        <v>1520</v>
      </c>
      <c r="K8" s="4">
        <v>1254</v>
      </c>
      <c r="L8" s="33">
        <v>1308</v>
      </c>
      <c r="M8" s="47">
        <v>1097</v>
      </c>
      <c r="N8" s="4">
        <v>1258</v>
      </c>
      <c r="O8" s="48">
        <v>1435</v>
      </c>
      <c r="P8" s="48">
        <v>1400</v>
      </c>
      <c r="Q8" s="49">
        <v>1660</v>
      </c>
      <c r="R8" s="5">
        <v>1951</v>
      </c>
      <c r="S8" s="4">
        <v>2248</v>
      </c>
      <c r="T8" s="6">
        <v>2038</v>
      </c>
      <c r="U8" s="4">
        <v>1934</v>
      </c>
      <c r="V8" s="6">
        <v>1981</v>
      </c>
      <c r="W8" s="4">
        <v>2511</v>
      </c>
      <c r="X8" s="6">
        <v>2376</v>
      </c>
      <c r="Y8" s="6">
        <v>2468</v>
      </c>
      <c r="Z8" s="6">
        <v>2246</v>
      </c>
      <c r="AA8" s="6">
        <v>2364</v>
      </c>
      <c r="AB8" s="6">
        <v>2475</v>
      </c>
      <c r="AC8" s="6">
        <v>2594</v>
      </c>
      <c r="AD8" s="46">
        <v>2591</v>
      </c>
      <c r="AE8" s="46">
        <v>1911</v>
      </c>
      <c r="AF8" s="46">
        <v>1691</v>
      </c>
      <c r="AG8" s="46">
        <v>2318</v>
      </c>
      <c r="AH8" s="46">
        <v>2268</v>
      </c>
    </row>
    <row r="9" spans="1:34" x14ac:dyDescent="0.25">
      <c r="A9" s="30" t="s">
        <v>4</v>
      </c>
      <c r="B9" s="42">
        <v>422</v>
      </c>
      <c r="C9" s="4">
        <v>581</v>
      </c>
      <c r="D9" s="4">
        <v>871</v>
      </c>
      <c r="E9" s="4">
        <v>756</v>
      </c>
      <c r="F9" s="4">
        <v>1010</v>
      </c>
      <c r="G9" s="4">
        <v>1123</v>
      </c>
      <c r="H9" s="4">
        <v>1238</v>
      </c>
      <c r="I9" s="6">
        <v>1350</v>
      </c>
      <c r="J9" s="6">
        <v>1463</v>
      </c>
      <c r="K9" s="4">
        <v>1231</v>
      </c>
      <c r="L9" s="33">
        <v>1186</v>
      </c>
      <c r="M9" s="47">
        <v>1115</v>
      </c>
      <c r="N9" s="4">
        <v>1244</v>
      </c>
      <c r="O9" s="48">
        <v>1352</v>
      </c>
      <c r="P9" s="48">
        <v>1349</v>
      </c>
      <c r="Q9" s="49">
        <v>1402</v>
      </c>
      <c r="R9" s="6">
        <v>1723</v>
      </c>
      <c r="S9" s="4">
        <v>2149</v>
      </c>
      <c r="T9" s="6">
        <v>1767</v>
      </c>
      <c r="U9" s="4">
        <v>1763</v>
      </c>
      <c r="V9" s="6">
        <v>1978</v>
      </c>
      <c r="W9" s="4">
        <v>2507</v>
      </c>
      <c r="X9" s="6">
        <f>2516</f>
        <v>2516</v>
      </c>
      <c r="Y9" s="6">
        <v>2360</v>
      </c>
      <c r="Z9" s="6">
        <v>2117</v>
      </c>
      <c r="AA9" s="6">
        <v>2295</v>
      </c>
      <c r="AB9" s="6">
        <v>2396</v>
      </c>
      <c r="AC9" s="6">
        <v>2471</v>
      </c>
      <c r="AD9" s="46">
        <v>2469</v>
      </c>
      <c r="AE9" s="46">
        <v>241</v>
      </c>
      <c r="AF9" s="46">
        <v>1737</v>
      </c>
      <c r="AG9" s="46">
        <v>2180</v>
      </c>
      <c r="AH9" s="46">
        <v>2255</v>
      </c>
    </row>
    <row r="10" spans="1:34" x14ac:dyDescent="0.25">
      <c r="A10" s="30" t="s">
        <v>5</v>
      </c>
      <c r="B10" s="42">
        <v>485</v>
      </c>
      <c r="C10" s="4">
        <v>585</v>
      </c>
      <c r="D10" s="4">
        <v>940</v>
      </c>
      <c r="E10" s="4">
        <v>868</v>
      </c>
      <c r="F10" s="4">
        <v>1005</v>
      </c>
      <c r="G10" s="4">
        <v>1222</v>
      </c>
      <c r="H10" s="4">
        <v>1407</v>
      </c>
      <c r="I10" s="6">
        <v>1473</v>
      </c>
      <c r="J10" s="6">
        <v>1504</v>
      </c>
      <c r="K10" s="4">
        <v>1313</v>
      </c>
      <c r="L10" s="33">
        <v>1188</v>
      </c>
      <c r="M10" s="47">
        <v>1113</v>
      </c>
      <c r="N10" s="4">
        <v>1313</v>
      </c>
      <c r="O10" s="48">
        <v>1401</v>
      </c>
      <c r="P10" s="48">
        <v>1388</v>
      </c>
      <c r="Q10" s="49">
        <v>1603</v>
      </c>
      <c r="R10" s="6">
        <v>1903</v>
      </c>
      <c r="S10" s="4">
        <v>1957</v>
      </c>
      <c r="T10" s="6">
        <v>1836</v>
      </c>
      <c r="U10" s="4">
        <v>1803</v>
      </c>
      <c r="V10" s="6">
        <v>1978</v>
      </c>
      <c r="W10" s="4">
        <v>2601</v>
      </c>
      <c r="X10" s="6">
        <f>2569</f>
        <v>2569</v>
      </c>
      <c r="Y10" s="6">
        <v>2473</v>
      </c>
      <c r="Z10" s="6">
        <v>2175</v>
      </c>
      <c r="AA10" s="6">
        <v>2355</v>
      </c>
      <c r="AB10" s="6">
        <v>2497</v>
      </c>
      <c r="AC10" s="6">
        <v>2579</v>
      </c>
      <c r="AD10" s="46">
        <v>2501</v>
      </c>
      <c r="AE10" s="46">
        <v>356</v>
      </c>
      <c r="AF10" s="46">
        <v>1737</v>
      </c>
      <c r="AG10" s="46">
        <v>2305</v>
      </c>
      <c r="AH10" s="46">
        <v>2522</v>
      </c>
    </row>
    <row r="11" spans="1:34" x14ac:dyDescent="0.25">
      <c r="A11" s="30" t="s">
        <v>6</v>
      </c>
      <c r="B11" s="42">
        <v>487</v>
      </c>
      <c r="C11" s="4">
        <v>581</v>
      </c>
      <c r="D11" s="4">
        <v>921</v>
      </c>
      <c r="E11" s="4">
        <v>926</v>
      </c>
      <c r="F11" s="4">
        <v>984</v>
      </c>
      <c r="G11" s="4">
        <v>1250</v>
      </c>
      <c r="H11" s="4">
        <v>1147</v>
      </c>
      <c r="I11" s="6">
        <v>1316</v>
      </c>
      <c r="J11" s="6">
        <v>1503</v>
      </c>
      <c r="K11" s="4">
        <v>1471</v>
      </c>
      <c r="L11" s="33">
        <v>1174</v>
      </c>
      <c r="M11" s="47">
        <v>1140</v>
      </c>
      <c r="N11" s="4">
        <v>1622</v>
      </c>
      <c r="O11" s="48">
        <v>1403</v>
      </c>
      <c r="P11" s="48">
        <v>1379</v>
      </c>
      <c r="Q11" s="49">
        <v>1517</v>
      </c>
      <c r="R11" s="6">
        <v>1864</v>
      </c>
      <c r="S11" s="4">
        <v>2017</v>
      </c>
      <c r="T11" s="6">
        <v>1686</v>
      </c>
      <c r="U11" s="4">
        <v>1939</v>
      </c>
      <c r="V11" s="6">
        <v>2038</v>
      </c>
      <c r="W11" s="4">
        <v>2591</v>
      </c>
      <c r="X11" s="6">
        <f>2427</f>
        <v>2427</v>
      </c>
      <c r="Y11" s="6">
        <v>2234</v>
      </c>
      <c r="Z11" s="6">
        <v>2337</v>
      </c>
      <c r="AA11" s="6">
        <v>2304</v>
      </c>
      <c r="AB11" s="6">
        <v>2511</v>
      </c>
      <c r="AC11" s="6">
        <v>2601</v>
      </c>
      <c r="AD11" s="46">
        <v>2659</v>
      </c>
      <c r="AE11" s="46">
        <v>499</v>
      </c>
      <c r="AF11" s="46">
        <v>1839</v>
      </c>
      <c r="AG11" s="46">
        <v>2590</v>
      </c>
      <c r="AH11" s="46">
        <v>2637</v>
      </c>
    </row>
    <row r="12" spans="1:34" x14ac:dyDescent="0.25">
      <c r="A12" s="30" t="s">
        <v>7</v>
      </c>
      <c r="B12" s="42">
        <v>547</v>
      </c>
      <c r="C12" s="4">
        <v>618</v>
      </c>
      <c r="D12" s="4">
        <v>770</v>
      </c>
      <c r="E12" s="4">
        <v>1064</v>
      </c>
      <c r="F12" s="4">
        <v>1041</v>
      </c>
      <c r="G12" s="4">
        <v>1319</v>
      </c>
      <c r="H12" s="4">
        <v>1386</v>
      </c>
      <c r="I12" s="6">
        <v>1396</v>
      </c>
      <c r="J12" s="6">
        <v>1528</v>
      </c>
      <c r="K12" s="4">
        <v>1500</v>
      </c>
      <c r="L12" s="33">
        <v>1256</v>
      </c>
      <c r="M12" s="47">
        <v>1173</v>
      </c>
      <c r="N12" s="4">
        <v>1630</v>
      </c>
      <c r="O12" s="48">
        <v>1468</v>
      </c>
      <c r="P12" s="48">
        <v>1454</v>
      </c>
      <c r="Q12" s="49">
        <v>1623</v>
      </c>
      <c r="R12" s="6">
        <v>1766</v>
      </c>
      <c r="S12" s="4">
        <v>2058</v>
      </c>
      <c r="T12" s="6">
        <v>1816</v>
      </c>
      <c r="U12" s="4">
        <v>2091</v>
      </c>
      <c r="V12" s="6">
        <v>2281</v>
      </c>
      <c r="W12" s="4">
        <v>2643</v>
      </c>
      <c r="X12" s="6">
        <f>2669</f>
        <v>2669</v>
      </c>
      <c r="Y12" s="6">
        <v>1988</v>
      </c>
      <c r="Z12" s="6">
        <v>2487</v>
      </c>
      <c r="AA12" s="6">
        <v>2516</v>
      </c>
      <c r="AB12" s="6">
        <v>2566</v>
      </c>
      <c r="AC12" s="6">
        <v>3015</v>
      </c>
      <c r="AD12" s="46">
        <v>2892</v>
      </c>
      <c r="AE12" s="46">
        <v>505</v>
      </c>
      <c r="AF12" s="46">
        <v>1621</v>
      </c>
      <c r="AG12" s="46">
        <v>2695</v>
      </c>
      <c r="AH12" s="46">
        <v>2907</v>
      </c>
    </row>
    <row r="13" spans="1:34" x14ac:dyDescent="0.25">
      <c r="A13" s="30" t="s">
        <v>8</v>
      </c>
      <c r="B13" s="42">
        <v>482</v>
      </c>
      <c r="C13" s="4">
        <v>629</v>
      </c>
      <c r="D13" s="4">
        <v>780</v>
      </c>
      <c r="E13" s="4">
        <v>1055</v>
      </c>
      <c r="F13" s="4">
        <v>1041</v>
      </c>
      <c r="G13" s="4">
        <v>1238</v>
      </c>
      <c r="H13" s="4">
        <v>1167</v>
      </c>
      <c r="I13" s="6">
        <v>1389</v>
      </c>
      <c r="J13" s="6">
        <v>1503</v>
      </c>
      <c r="K13" s="4">
        <v>1481</v>
      </c>
      <c r="L13" s="33">
        <v>1242</v>
      </c>
      <c r="M13" s="47">
        <v>1276</v>
      </c>
      <c r="N13" s="4">
        <v>1584</v>
      </c>
      <c r="O13" s="50">
        <v>1473</v>
      </c>
      <c r="P13" s="50">
        <v>1476</v>
      </c>
      <c r="Q13" s="51">
        <v>1602</v>
      </c>
      <c r="R13" s="6">
        <v>1924</v>
      </c>
      <c r="S13" s="4">
        <v>2041</v>
      </c>
      <c r="T13" s="6">
        <v>1740</v>
      </c>
      <c r="U13" s="4">
        <v>2097</v>
      </c>
      <c r="V13" s="6">
        <v>2049</v>
      </c>
      <c r="W13" s="4">
        <v>2637</v>
      </c>
      <c r="X13" s="6">
        <f>2654</f>
        <v>2654</v>
      </c>
      <c r="Y13" s="6">
        <v>2079</v>
      </c>
      <c r="Z13" s="6">
        <v>2433</v>
      </c>
      <c r="AA13" s="6">
        <v>2512</v>
      </c>
      <c r="AB13" s="6">
        <v>2494</v>
      </c>
      <c r="AC13" s="6">
        <v>2944</v>
      </c>
      <c r="AD13" s="46">
        <v>2818</v>
      </c>
      <c r="AE13" s="46">
        <v>529</v>
      </c>
      <c r="AF13" s="46">
        <v>1813</v>
      </c>
      <c r="AG13" s="46">
        <v>2725</v>
      </c>
      <c r="AH13" s="46"/>
    </row>
    <row r="14" spans="1:34" x14ac:dyDescent="0.25">
      <c r="A14" s="30" t="s">
        <v>9</v>
      </c>
      <c r="B14" s="42">
        <v>454</v>
      </c>
      <c r="C14" s="4">
        <v>630</v>
      </c>
      <c r="D14" s="4">
        <v>688</v>
      </c>
      <c r="E14" s="4">
        <v>1081</v>
      </c>
      <c r="F14" s="4">
        <v>1036</v>
      </c>
      <c r="G14" s="4">
        <v>1323</v>
      </c>
      <c r="H14" s="4">
        <v>1284</v>
      </c>
      <c r="I14" s="6">
        <v>1521</v>
      </c>
      <c r="J14" s="6">
        <v>1427</v>
      </c>
      <c r="K14" s="4">
        <v>1443</v>
      </c>
      <c r="L14" s="33">
        <v>1077</v>
      </c>
      <c r="M14" s="47">
        <v>1339</v>
      </c>
      <c r="N14" s="4">
        <v>1662</v>
      </c>
      <c r="O14" s="4">
        <v>1365</v>
      </c>
      <c r="P14" s="4">
        <v>1405</v>
      </c>
      <c r="Q14" s="33">
        <v>1691</v>
      </c>
      <c r="R14" s="6">
        <v>1661</v>
      </c>
      <c r="S14" s="4">
        <v>1936</v>
      </c>
      <c r="T14" s="6">
        <v>1711</v>
      </c>
      <c r="U14" s="4">
        <v>1933</v>
      </c>
      <c r="V14" s="6">
        <v>1989</v>
      </c>
      <c r="W14" s="4">
        <v>2472</v>
      </c>
      <c r="X14" s="6">
        <f>2601</f>
        <v>2601</v>
      </c>
      <c r="Y14" s="6">
        <v>1989</v>
      </c>
      <c r="Z14" s="6">
        <v>2317</v>
      </c>
      <c r="AA14" s="6">
        <v>2352</v>
      </c>
      <c r="AB14" s="6">
        <v>2358</v>
      </c>
      <c r="AC14" s="6">
        <v>2769</v>
      </c>
      <c r="AD14" s="46">
        <v>2853</v>
      </c>
      <c r="AE14" s="46">
        <v>605</v>
      </c>
      <c r="AF14" s="46">
        <v>1952</v>
      </c>
      <c r="AG14" s="46">
        <v>2570</v>
      </c>
      <c r="AH14" s="46"/>
    </row>
    <row r="15" spans="1:34" x14ac:dyDescent="0.25">
      <c r="A15" s="30" t="s">
        <v>10</v>
      </c>
      <c r="B15" s="42">
        <v>510</v>
      </c>
      <c r="C15" s="4">
        <v>637</v>
      </c>
      <c r="D15" s="4">
        <v>756</v>
      </c>
      <c r="E15" s="4">
        <v>1011</v>
      </c>
      <c r="F15" s="4">
        <v>1085</v>
      </c>
      <c r="G15" s="4">
        <v>1500</v>
      </c>
      <c r="H15" s="4">
        <v>1400</v>
      </c>
      <c r="I15" s="6">
        <v>1494</v>
      </c>
      <c r="J15" s="6">
        <v>1483</v>
      </c>
      <c r="K15" s="4">
        <v>1421</v>
      </c>
      <c r="L15" s="33">
        <v>1196</v>
      </c>
      <c r="M15" s="47">
        <v>1420</v>
      </c>
      <c r="N15" s="4">
        <v>1584</v>
      </c>
      <c r="O15" s="4">
        <v>1400</v>
      </c>
      <c r="P15" s="4">
        <v>1557</v>
      </c>
      <c r="Q15" s="33">
        <v>1732</v>
      </c>
      <c r="R15" s="6">
        <v>1956</v>
      </c>
      <c r="S15" s="4">
        <v>1850</v>
      </c>
      <c r="T15" s="6">
        <v>1978</v>
      </c>
      <c r="U15" s="4">
        <v>2144</v>
      </c>
      <c r="V15" s="6">
        <v>2118</v>
      </c>
      <c r="W15" s="4">
        <v>2655</v>
      </c>
      <c r="X15" s="6">
        <v>2636</v>
      </c>
      <c r="Y15" s="6">
        <v>2220</v>
      </c>
      <c r="Z15" s="6">
        <v>2402</v>
      </c>
      <c r="AA15" s="6">
        <v>2360</v>
      </c>
      <c r="AB15" s="6">
        <v>2486</v>
      </c>
      <c r="AC15" s="6">
        <v>2953</v>
      </c>
      <c r="AD15" s="46">
        <v>2898</v>
      </c>
      <c r="AE15" s="46">
        <v>1118</v>
      </c>
      <c r="AF15" s="46">
        <v>2087</v>
      </c>
      <c r="AG15" s="46">
        <v>2514</v>
      </c>
      <c r="AH15" s="46"/>
    </row>
    <row r="16" spans="1:34" x14ac:dyDescent="0.25">
      <c r="A16" s="30" t="s">
        <v>11</v>
      </c>
      <c r="B16" s="42">
        <v>454</v>
      </c>
      <c r="C16" s="4">
        <v>682</v>
      </c>
      <c r="D16" s="4">
        <v>749</v>
      </c>
      <c r="E16" s="4">
        <v>1014</v>
      </c>
      <c r="F16" s="4">
        <v>1174</v>
      </c>
      <c r="G16" s="4">
        <v>1701</v>
      </c>
      <c r="H16" s="4">
        <v>1272</v>
      </c>
      <c r="I16" s="6">
        <v>1479</v>
      </c>
      <c r="J16" s="6">
        <v>1501</v>
      </c>
      <c r="K16" s="4">
        <v>1302</v>
      </c>
      <c r="L16" s="33">
        <v>1111</v>
      </c>
      <c r="M16" s="47">
        <v>1317</v>
      </c>
      <c r="N16" s="4">
        <v>1420</v>
      </c>
      <c r="O16" s="4">
        <v>1368</v>
      </c>
      <c r="P16" s="4">
        <v>1586</v>
      </c>
      <c r="Q16" s="33">
        <v>1732</v>
      </c>
      <c r="R16" s="6">
        <v>1730</v>
      </c>
      <c r="S16" s="4">
        <v>1836</v>
      </c>
      <c r="T16" s="6">
        <v>1832</v>
      </c>
      <c r="U16" s="4">
        <v>2099</v>
      </c>
      <c r="V16" s="6">
        <v>2210</v>
      </c>
      <c r="W16" s="4">
        <v>2493</v>
      </c>
      <c r="X16" s="6">
        <v>2550</v>
      </c>
      <c r="Y16" s="6">
        <v>2049</v>
      </c>
      <c r="Z16" s="6">
        <v>2440</v>
      </c>
      <c r="AA16" s="6">
        <v>2378</v>
      </c>
      <c r="AB16" s="6">
        <v>2306</v>
      </c>
      <c r="AC16" s="6">
        <v>2740</v>
      </c>
      <c r="AD16" s="46">
        <v>2886</v>
      </c>
      <c r="AE16" s="46">
        <v>1295</v>
      </c>
      <c r="AF16" s="46">
        <v>2080</v>
      </c>
      <c r="AG16" s="46">
        <v>2292</v>
      </c>
      <c r="AH16" s="46"/>
    </row>
    <row r="17" spans="1:34" x14ac:dyDescent="0.25">
      <c r="A17" s="30" t="s">
        <v>12</v>
      </c>
      <c r="B17" s="42">
        <v>468</v>
      </c>
      <c r="C17" s="4">
        <v>742</v>
      </c>
      <c r="D17" s="4">
        <v>716</v>
      </c>
      <c r="E17" s="4">
        <v>1072</v>
      </c>
      <c r="F17" s="4">
        <v>1129</v>
      </c>
      <c r="G17" s="4">
        <v>1642</v>
      </c>
      <c r="H17" s="4">
        <v>1256</v>
      </c>
      <c r="I17" s="6">
        <v>1579</v>
      </c>
      <c r="J17" s="6">
        <v>1425</v>
      </c>
      <c r="K17" s="4">
        <v>1322</v>
      </c>
      <c r="L17" s="33">
        <v>1075</v>
      </c>
      <c r="M17" s="47">
        <v>1455</v>
      </c>
      <c r="N17" s="4">
        <v>1397</v>
      </c>
      <c r="O17" s="4">
        <v>1372</v>
      </c>
      <c r="P17" s="4">
        <v>1518</v>
      </c>
      <c r="Q17" s="33">
        <v>1836</v>
      </c>
      <c r="R17" s="6">
        <v>1851</v>
      </c>
      <c r="S17" s="4">
        <v>1937</v>
      </c>
      <c r="T17" s="6">
        <v>1732</v>
      </c>
      <c r="U17" s="4">
        <v>1984</v>
      </c>
      <c r="V17" s="6">
        <v>2156</v>
      </c>
      <c r="W17" s="4">
        <v>2430</v>
      </c>
      <c r="X17" s="6">
        <v>2702</v>
      </c>
      <c r="Y17" s="6">
        <v>2115</v>
      </c>
      <c r="Z17" s="6">
        <v>2160</v>
      </c>
      <c r="AA17" s="6">
        <v>2399</v>
      </c>
      <c r="AB17" s="6">
        <v>2471</v>
      </c>
      <c r="AC17" s="6">
        <v>2862</v>
      </c>
      <c r="AD17" s="46">
        <v>2991</v>
      </c>
      <c r="AE17" s="46">
        <v>1522</v>
      </c>
      <c r="AF17" s="46">
        <v>2189</v>
      </c>
      <c r="AG17" s="46">
        <v>2474</v>
      </c>
      <c r="AH17" s="46"/>
    </row>
    <row r="18" spans="1:34" ht="15.75" thickBot="1" x14ac:dyDescent="0.3">
      <c r="A18" s="52" t="s">
        <v>13</v>
      </c>
      <c r="B18" s="53">
        <f>SUM(B6:B17)</f>
        <v>5615</v>
      </c>
      <c r="C18" s="18">
        <f t="shared" ref="C18:L18" si="0">SUM(C6:C17)</f>
        <v>7402</v>
      </c>
      <c r="D18" s="18">
        <f t="shared" si="0"/>
        <v>9556</v>
      </c>
      <c r="E18" s="18">
        <f t="shared" si="0"/>
        <v>11122</v>
      </c>
      <c r="F18" s="18">
        <f t="shared" si="0"/>
        <v>12600</v>
      </c>
      <c r="G18" s="18">
        <f t="shared" si="0"/>
        <v>15624</v>
      </c>
      <c r="H18" s="18">
        <f t="shared" si="0"/>
        <v>15057</v>
      </c>
      <c r="I18" s="54">
        <f t="shared" si="0"/>
        <v>17038</v>
      </c>
      <c r="J18" s="55">
        <f t="shared" si="0"/>
        <v>17806</v>
      </c>
      <c r="K18" s="18">
        <f t="shared" si="0"/>
        <v>16190</v>
      </c>
      <c r="L18" s="56">
        <f t="shared" si="0"/>
        <v>14459</v>
      </c>
      <c r="M18" s="57">
        <f t="shared" ref="M18:R18" si="1">SUM(M6:M17)</f>
        <v>14523</v>
      </c>
      <c r="N18" s="18">
        <f t="shared" si="1"/>
        <v>17361</v>
      </c>
      <c r="O18" s="18">
        <f t="shared" si="1"/>
        <v>16692</v>
      </c>
      <c r="P18" s="18">
        <f t="shared" si="1"/>
        <v>17253</v>
      </c>
      <c r="Q18" s="56">
        <f t="shared" si="1"/>
        <v>19381</v>
      </c>
      <c r="R18" s="18">
        <f t="shared" si="1"/>
        <v>21892</v>
      </c>
      <c r="S18" s="18">
        <f t="shared" ref="S18:Z18" si="2">SUM(S6:S17)</f>
        <v>23847</v>
      </c>
      <c r="T18" s="54">
        <f t="shared" si="2"/>
        <v>21619</v>
      </c>
      <c r="U18" s="18">
        <f t="shared" si="2"/>
        <v>23320</v>
      </c>
      <c r="V18" s="54">
        <f t="shared" si="2"/>
        <v>24506</v>
      </c>
      <c r="W18" s="18">
        <f>SUM(W6:W17)</f>
        <v>30259</v>
      </c>
      <c r="X18" s="54">
        <f t="shared" si="2"/>
        <v>30364</v>
      </c>
      <c r="Y18" s="54">
        <f t="shared" si="2"/>
        <v>26886</v>
      </c>
      <c r="Z18" s="54">
        <f t="shared" si="2"/>
        <v>27382</v>
      </c>
      <c r="AA18" s="54">
        <f t="shared" ref="AA18:AH18" si="3">SUM(AA6:AA17)</f>
        <v>28351</v>
      </c>
      <c r="AB18" s="54">
        <f t="shared" si="3"/>
        <v>29323</v>
      </c>
      <c r="AC18" s="54">
        <f t="shared" si="3"/>
        <v>32383</v>
      </c>
      <c r="AD18" s="54">
        <f t="shared" si="3"/>
        <v>32798</v>
      </c>
      <c r="AE18" s="54">
        <f t="shared" si="3"/>
        <v>14421</v>
      </c>
      <c r="AF18" s="54">
        <f t="shared" si="3"/>
        <v>21584</v>
      </c>
      <c r="AG18" s="54">
        <f t="shared" si="3"/>
        <v>28985</v>
      </c>
      <c r="AH18" s="54">
        <f t="shared" si="3"/>
        <v>17482</v>
      </c>
    </row>
    <row r="19" spans="1:34" ht="15.75" thickTop="1" x14ac:dyDescent="0.25">
      <c r="AD19" s="35">
        <f>+AD6+AD7+AD8+AD9+AD10+AD11</f>
        <v>15460</v>
      </c>
      <c r="AE19" s="35">
        <f t="shared" ref="AE19:AH19" si="4">+AE6+AE7+AE8+AE9+AE10+AE11</f>
        <v>8847</v>
      </c>
      <c r="AF19" s="35">
        <f t="shared" si="4"/>
        <v>9842</v>
      </c>
      <c r="AG19" s="35">
        <f t="shared" si="4"/>
        <v>13715</v>
      </c>
      <c r="AH19" s="35">
        <f t="shared" si="4"/>
        <v>14575</v>
      </c>
    </row>
    <row r="20" spans="1:34" ht="15.75" x14ac:dyDescent="0.25">
      <c r="H20" s="170" t="s">
        <v>23</v>
      </c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</row>
    <row r="21" spans="1:34" ht="15.75" thickBot="1" x14ac:dyDescent="0.3"/>
    <row r="22" spans="1:34" ht="16.5" thickTop="1" x14ac:dyDescent="0.25">
      <c r="A22" s="58" t="s">
        <v>0</v>
      </c>
      <c r="B22" s="165" t="s">
        <v>15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7"/>
    </row>
    <row r="23" spans="1:34" ht="15.75" x14ac:dyDescent="0.25">
      <c r="A23" s="59"/>
      <c r="B23" s="60">
        <v>1991</v>
      </c>
      <c r="C23" s="13">
        <v>1992</v>
      </c>
      <c r="D23" s="13">
        <v>1993</v>
      </c>
      <c r="E23" s="13">
        <v>1994</v>
      </c>
      <c r="F23" s="13">
        <v>1995</v>
      </c>
      <c r="G23" s="13">
        <v>1996</v>
      </c>
      <c r="H23" s="13">
        <v>1997</v>
      </c>
      <c r="I23" s="13">
        <v>1998</v>
      </c>
      <c r="J23" s="13">
        <v>1999</v>
      </c>
      <c r="K23" s="13">
        <v>2000</v>
      </c>
      <c r="L23" s="13">
        <v>2001</v>
      </c>
      <c r="M23" s="13">
        <v>2002</v>
      </c>
      <c r="N23" s="13">
        <v>2003</v>
      </c>
      <c r="O23" s="13">
        <v>2004</v>
      </c>
      <c r="P23" s="13">
        <v>2005</v>
      </c>
      <c r="Q23" s="13">
        <v>2006</v>
      </c>
      <c r="R23" s="13">
        <v>2007</v>
      </c>
      <c r="S23" s="13">
        <v>2008</v>
      </c>
      <c r="T23" s="13">
        <v>2009</v>
      </c>
      <c r="U23" s="13">
        <v>2010</v>
      </c>
      <c r="V23" s="13">
        <v>2011</v>
      </c>
      <c r="W23" s="13">
        <v>2012</v>
      </c>
      <c r="X23" s="13">
        <v>2013</v>
      </c>
      <c r="Y23" s="61">
        <v>2014</v>
      </c>
      <c r="Z23" s="61">
        <v>2015</v>
      </c>
      <c r="AA23" s="61">
        <v>2016</v>
      </c>
      <c r="AB23" s="61">
        <v>2017</v>
      </c>
      <c r="AC23" s="61">
        <v>2018</v>
      </c>
      <c r="AD23" s="61">
        <v>2019</v>
      </c>
      <c r="AE23" s="61">
        <v>2020</v>
      </c>
      <c r="AF23" s="61">
        <v>2021</v>
      </c>
      <c r="AG23" s="61">
        <v>2022</v>
      </c>
      <c r="AH23" s="61">
        <v>2023</v>
      </c>
    </row>
    <row r="24" spans="1:34" ht="15.75" x14ac:dyDescent="0.25">
      <c r="A24" s="7" t="s">
        <v>1</v>
      </c>
      <c r="B24" s="8">
        <v>580</v>
      </c>
      <c r="C24" s="9">
        <v>338</v>
      </c>
      <c r="D24" s="9">
        <v>294</v>
      </c>
      <c r="E24" s="9">
        <v>601</v>
      </c>
      <c r="F24" s="9">
        <v>905</v>
      </c>
      <c r="G24" s="9">
        <v>830</v>
      </c>
      <c r="H24" s="9">
        <v>773</v>
      </c>
      <c r="I24" s="9">
        <v>1148</v>
      </c>
      <c r="J24" s="9">
        <v>1212</v>
      </c>
      <c r="K24" s="9">
        <v>1133</v>
      </c>
      <c r="L24" s="9">
        <v>1305.5168000000001</v>
      </c>
      <c r="M24" s="9">
        <v>988</v>
      </c>
      <c r="N24" s="9">
        <v>840</v>
      </c>
      <c r="O24" s="9">
        <v>1035.2383</v>
      </c>
      <c r="P24" s="9">
        <f>921.6964+22.231</f>
        <v>943.92740000000003</v>
      </c>
      <c r="Q24" s="9">
        <v>997.87513000000001</v>
      </c>
      <c r="R24" s="9">
        <v>1180.0427</v>
      </c>
      <c r="S24" s="9">
        <v>1607.59123</v>
      </c>
      <c r="T24" s="9">
        <f>1485.6562</f>
        <v>1485.6561999999999</v>
      </c>
      <c r="U24" s="9">
        <v>1902.2829999999999</v>
      </c>
      <c r="V24" s="9">
        <v>1795.0567699999999</v>
      </c>
      <c r="W24" s="9">
        <v>1324.1120000000001</v>
      </c>
      <c r="X24" s="9">
        <v>1382.1769999999999</v>
      </c>
      <c r="Y24" s="9">
        <v>1668.55385</v>
      </c>
      <c r="Z24" s="9">
        <v>1422.1344999999999</v>
      </c>
      <c r="AA24" s="9">
        <v>1464</v>
      </c>
      <c r="AB24" s="9">
        <v>1470.5840000000001</v>
      </c>
      <c r="AC24" s="9">
        <v>1767</v>
      </c>
      <c r="AD24" s="12">
        <v>1471.9590000000001</v>
      </c>
      <c r="AE24" s="12">
        <v>1794.115</v>
      </c>
      <c r="AF24" s="12">
        <v>1866.9580000000001</v>
      </c>
      <c r="AG24" s="12">
        <v>1581.049</v>
      </c>
      <c r="AH24" s="12">
        <v>1418.702</v>
      </c>
    </row>
    <row r="25" spans="1:34" ht="15.75" x14ac:dyDescent="0.25">
      <c r="A25" s="7" t="s">
        <v>2</v>
      </c>
      <c r="B25" s="8">
        <v>309</v>
      </c>
      <c r="C25" s="9">
        <v>282</v>
      </c>
      <c r="D25" s="9">
        <v>338</v>
      </c>
      <c r="E25" s="9">
        <v>667</v>
      </c>
      <c r="F25" s="9">
        <v>810</v>
      </c>
      <c r="G25" s="9">
        <v>833</v>
      </c>
      <c r="H25" s="9">
        <v>765</v>
      </c>
      <c r="I25" s="9">
        <v>1283</v>
      </c>
      <c r="J25" s="9">
        <v>1136.7521999999999</v>
      </c>
      <c r="K25" s="9">
        <v>976.69240000000002</v>
      </c>
      <c r="L25" s="9">
        <v>1105.9797000000001</v>
      </c>
      <c r="M25" s="62">
        <v>951</v>
      </c>
      <c r="N25" s="62">
        <v>876</v>
      </c>
      <c r="O25" s="62">
        <v>985.30470000000003</v>
      </c>
      <c r="P25" s="9">
        <f>950.1786+21.976</f>
        <v>972.15459999999996</v>
      </c>
      <c r="Q25" s="9">
        <f>1375649.76/1000</f>
        <v>1375.64976</v>
      </c>
      <c r="R25" s="9">
        <v>1469.38564</v>
      </c>
      <c r="S25" s="9">
        <v>1621.9844000000001</v>
      </c>
      <c r="T25" s="9">
        <v>1737.8465900000001</v>
      </c>
      <c r="U25" s="9">
        <v>1778.3697999999999</v>
      </c>
      <c r="V25" s="9">
        <v>1778.7539999999999</v>
      </c>
      <c r="W25" s="9">
        <v>1645.3865000000001</v>
      </c>
      <c r="X25" s="9">
        <v>1585.0599</v>
      </c>
      <c r="Y25" s="9">
        <v>1780.2750000000001</v>
      </c>
      <c r="Z25" s="9">
        <v>1629.5445</v>
      </c>
      <c r="AA25" s="9">
        <v>1644</v>
      </c>
      <c r="AB25" s="9">
        <v>1674.57</v>
      </c>
      <c r="AC25" s="9">
        <v>1574</v>
      </c>
      <c r="AD25" s="12">
        <v>1387.9369999999999</v>
      </c>
      <c r="AE25" s="12">
        <v>2405.248</v>
      </c>
      <c r="AF25" s="12">
        <v>1737.7729999999999</v>
      </c>
      <c r="AG25" s="12">
        <v>1451.56</v>
      </c>
      <c r="AH25" s="12">
        <v>848.43809999999996</v>
      </c>
    </row>
    <row r="26" spans="1:34" ht="15.75" x14ac:dyDescent="0.25">
      <c r="A26" s="7" t="s">
        <v>3</v>
      </c>
      <c r="B26" s="8">
        <v>501</v>
      </c>
      <c r="C26" s="9">
        <v>393</v>
      </c>
      <c r="D26" s="9">
        <v>544</v>
      </c>
      <c r="E26" s="9">
        <v>710</v>
      </c>
      <c r="F26" s="9">
        <v>1208</v>
      </c>
      <c r="G26" s="9">
        <v>982</v>
      </c>
      <c r="H26" s="9">
        <v>1089</v>
      </c>
      <c r="I26" s="9">
        <v>1590</v>
      </c>
      <c r="J26" s="9">
        <v>1248.2081000000001</v>
      </c>
      <c r="K26" s="9">
        <v>1063</v>
      </c>
      <c r="L26" s="9">
        <v>1011.1967</v>
      </c>
      <c r="M26" s="9">
        <v>1005</v>
      </c>
      <c r="N26" s="9">
        <v>881</v>
      </c>
      <c r="O26" s="9">
        <v>1148.1119000000001</v>
      </c>
      <c r="P26" s="9">
        <f>1340.7998+4.679</f>
        <v>1345.4788000000001</v>
      </c>
      <c r="Q26" s="9">
        <f>1187577.76/1000</f>
        <v>1187.5777599999999</v>
      </c>
      <c r="R26" s="9">
        <v>1236.4512</v>
      </c>
      <c r="S26" s="9">
        <v>1932.2426</v>
      </c>
      <c r="T26" s="9">
        <v>1735.73479</v>
      </c>
      <c r="U26" s="9">
        <v>2444.0059999999999</v>
      </c>
      <c r="V26" s="9">
        <v>1673.1824999999999</v>
      </c>
      <c r="W26" s="9">
        <v>1615.165</v>
      </c>
      <c r="X26" s="9">
        <v>1815.9825000000001</v>
      </c>
      <c r="Y26" s="9">
        <v>2114.1336999999999</v>
      </c>
      <c r="Z26" s="9">
        <v>1786.9480000000001</v>
      </c>
      <c r="AA26" s="9">
        <v>1653</v>
      </c>
      <c r="AB26" s="9">
        <v>1545.481</v>
      </c>
      <c r="AC26" s="9">
        <v>1756.4</v>
      </c>
      <c r="AD26" s="12">
        <v>1793.3230000000001</v>
      </c>
      <c r="AE26" s="12">
        <v>1617.3620000000001</v>
      </c>
      <c r="AF26" s="12">
        <v>2224.0479999999998</v>
      </c>
      <c r="AG26" s="12">
        <v>1660.1030000000001</v>
      </c>
      <c r="AH26" s="12">
        <v>757.42700000000002</v>
      </c>
    </row>
    <row r="27" spans="1:34" ht="15.75" x14ac:dyDescent="0.25">
      <c r="A27" s="7" t="s">
        <v>16</v>
      </c>
      <c r="B27" s="8">
        <v>399</v>
      </c>
      <c r="C27" s="9">
        <v>534</v>
      </c>
      <c r="D27" s="9">
        <v>480</v>
      </c>
      <c r="E27" s="9">
        <v>603</v>
      </c>
      <c r="F27" s="9">
        <v>923</v>
      </c>
      <c r="G27" s="9">
        <v>1063</v>
      </c>
      <c r="H27" s="9">
        <v>1328</v>
      </c>
      <c r="I27" s="9">
        <v>1142</v>
      </c>
      <c r="J27" s="9">
        <v>1023.5006999999999</v>
      </c>
      <c r="K27" s="9">
        <v>1180</v>
      </c>
      <c r="L27" s="9">
        <v>1271.402382</v>
      </c>
      <c r="M27" s="9">
        <v>960</v>
      </c>
      <c r="N27" s="9">
        <v>802</v>
      </c>
      <c r="O27" s="9">
        <v>1090.9409000000001</v>
      </c>
      <c r="P27" s="9">
        <f>1110.0275+28.391</f>
        <v>1138.4185</v>
      </c>
      <c r="Q27" s="9">
        <v>1087.1837399999999</v>
      </c>
      <c r="R27" s="9">
        <v>1446.3942</v>
      </c>
      <c r="S27" s="9">
        <v>1722.0821000000001</v>
      </c>
      <c r="T27" s="9">
        <v>1625.53649</v>
      </c>
      <c r="U27" s="9">
        <v>1495.739</v>
      </c>
      <c r="V27" s="9">
        <v>1689.329</v>
      </c>
      <c r="W27" s="9">
        <v>2235.739</v>
      </c>
      <c r="X27" s="9">
        <v>1857.6017999999999</v>
      </c>
      <c r="Y27" s="9">
        <v>1745.9407000000001</v>
      </c>
      <c r="Z27" s="9">
        <v>1893.9407000000001</v>
      </c>
      <c r="AA27" s="9">
        <v>1745</v>
      </c>
      <c r="AB27" s="9">
        <v>1969.2449999999999</v>
      </c>
      <c r="AC27" s="9">
        <v>1694.55</v>
      </c>
      <c r="AD27" s="12">
        <v>2290.6060000000002</v>
      </c>
      <c r="AE27" s="12">
        <v>993.37800000000004</v>
      </c>
      <c r="AF27" s="12">
        <v>2337.06</v>
      </c>
      <c r="AG27" s="12">
        <v>1783.854</v>
      </c>
      <c r="AH27" s="12">
        <v>1124.2705000000001</v>
      </c>
    </row>
    <row r="28" spans="1:34" ht="15.75" x14ac:dyDescent="0.25">
      <c r="A28" s="7" t="s">
        <v>17</v>
      </c>
      <c r="B28" s="8">
        <v>423</v>
      </c>
      <c r="C28" s="9">
        <v>331</v>
      </c>
      <c r="D28" s="9">
        <v>575</v>
      </c>
      <c r="E28" s="9">
        <v>1046</v>
      </c>
      <c r="F28" s="9">
        <v>938</v>
      </c>
      <c r="G28" s="9">
        <v>691</v>
      </c>
      <c r="H28" s="9">
        <v>1313</v>
      </c>
      <c r="I28" s="9">
        <v>1341</v>
      </c>
      <c r="J28" s="9">
        <v>1290.829</v>
      </c>
      <c r="K28" s="9">
        <v>1145</v>
      </c>
      <c r="L28" s="9">
        <v>1008.7206</v>
      </c>
      <c r="M28" s="9">
        <v>1104</v>
      </c>
      <c r="N28" s="9">
        <v>1168</v>
      </c>
      <c r="O28" s="9">
        <v>1208.4768999999999</v>
      </c>
      <c r="P28" s="9">
        <f>1211.1596+8.172</f>
        <v>1219.3316</v>
      </c>
      <c r="Q28" s="9">
        <v>1481.6250199999999</v>
      </c>
      <c r="R28" s="9">
        <v>1470.8640399999999</v>
      </c>
      <c r="S28" s="9">
        <v>1884.7912100000001</v>
      </c>
      <c r="T28" s="9">
        <v>1490.4890399999999</v>
      </c>
      <c r="U28" s="9">
        <v>1840.0419999999999</v>
      </c>
      <c r="V28" s="9">
        <v>1329.2614000000001</v>
      </c>
      <c r="W28" s="9">
        <v>1955.296</v>
      </c>
      <c r="X28" s="9">
        <v>2068.0915</v>
      </c>
      <c r="Y28" s="9">
        <v>1457.0788299999999</v>
      </c>
      <c r="Z28" s="9">
        <v>1878.3440000000001</v>
      </c>
      <c r="AA28" s="9">
        <v>2033</v>
      </c>
      <c r="AB28" s="9">
        <v>2072.88</v>
      </c>
      <c r="AC28" s="9">
        <v>2354.1999999999998</v>
      </c>
      <c r="AD28" s="12">
        <v>1652.0640000000001</v>
      </c>
      <c r="AE28" s="12">
        <v>1238.847</v>
      </c>
      <c r="AF28" s="12">
        <v>2243.5540000000001</v>
      </c>
      <c r="AG28" s="12">
        <v>1656.1120000000001</v>
      </c>
      <c r="AH28" s="12">
        <v>1315.296</v>
      </c>
    </row>
    <row r="29" spans="1:34" ht="15.75" x14ac:dyDescent="0.25">
      <c r="A29" s="7" t="s">
        <v>18</v>
      </c>
      <c r="B29" s="8">
        <v>302</v>
      </c>
      <c r="C29" s="9">
        <v>395</v>
      </c>
      <c r="D29" s="9">
        <v>513</v>
      </c>
      <c r="E29" s="9">
        <v>752</v>
      </c>
      <c r="F29" s="9">
        <v>769</v>
      </c>
      <c r="G29" s="9">
        <v>1046</v>
      </c>
      <c r="H29" s="9">
        <v>1204</v>
      </c>
      <c r="I29" s="9">
        <v>1311</v>
      </c>
      <c r="J29" s="9">
        <v>976.09739999999999</v>
      </c>
      <c r="K29" s="9">
        <v>1069</v>
      </c>
      <c r="L29" s="9">
        <v>1196.8634</v>
      </c>
      <c r="M29" s="9">
        <v>953</v>
      </c>
      <c r="N29" s="9">
        <v>1012</v>
      </c>
      <c r="O29" s="9">
        <v>1224.5882999999999</v>
      </c>
      <c r="P29" s="9">
        <f>1221639/1000+0.682</f>
        <v>1222.3209999999999</v>
      </c>
      <c r="Q29" s="9">
        <v>1068.44067</v>
      </c>
      <c r="R29" s="9">
        <v>1726.4485</v>
      </c>
      <c r="S29" s="9">
        <v>1801.202</v>
      </c>
      <c r="T29" s="9">
        <v>1704.1608900000001</v>
      </c>
      <c r="U29" s="9">
        <v>1587.345736</v>
      </c>
      <c r="V29" s="9">
        <v>1556.4770000000001</v>
      </c>
      <c r="W29" s="9">
        <v>1843.73</v>
      </c>
      <c r="X29" s="9">
        <v>1633.5038999999999</v>
      </c>
      <c r="Y29" s="9">
        <v>1516.3723</v>
      </c>
      <c r="Z29" s="9">
        <v>1773.981</v>
      </c>
      <c r="AA29" s="9">
        <v>1547</v>
      </c>
      <c r="AB29" s="9">
        <v>1488.55</v>
      </c>
      <c r="AC29" s="9">
        <v>1981.5309999999999</v>
      </c>
      <c r="AD29" s="12">
        <v>1624.633</v>
      </c>
      <c r="AE29" s="12">
        <v>2337.038</v>
      </c>
      <c r="AF29" s="12">
        <v>1966.712</v>
      </c>
      <c r="AG29" s="12">
        <v>1942.5709999999999</v>
      </c>
      <c r="AH29" s="12">
        <v>1661.2565</v>
      </c>
    </row>
    <row r="30" spans="1:34" ht="15.75" x14ac:dyDescent="0.25">
      <c r="A30" s="7" t="s">
        <v>19</v>
      </c>
      <c r="B30" s="8">
        <v>420</v>
      </c>
      <c r="C30" s="9">
        <v>508</v>
      </c>
      <c r="D30" s="9">
        <v>535</v>
      </c>
      <c r="E30" s="9">
        <v>756</v>
      </c>
      <c r="F30" s="9">
        <v>852</v>
      </c>
      <c r="G30" s="9">
        <v>1063</v>
      </c>
      <c r="H30" s="9">
        <v>1061</v>
      </c>
      <c r="I30" s="9">
        <v>1578</v>
      </c>
      <c r="J30" s="9">
        <v>1069</v>
      </c>
      <c r="K30" s="9">
        <v>1149</v>
      </c>
      <c r="L30" s="9">
        <v>1321</v>
      </c>
      <c r="M30" s="9">
        <v>1109.7466999999999</v>
      </c>
      <c r="N30" s="9">
        <v>1091</v>
      </c>
      <c r="O30" s="9">
        <v>1564.0306</v>
      </c>
      <c r="P30" s="9">
        <v>1185.0611699999999</v>
      </c>
      <c r="Q30" s="9">
        <f>1236087.82/1000</f>
        <v>1236.08782</v>
      </c>
      <c r="R30" s="9">
        <v>1547.33968</v>
      </c>
      <c r="S30" s="9">
        <v>1864.085</v>
      </c>
      <c r="T30" s="9">
        <v>1599</v>
      </c>
      <c r="U30" s="9">
        <v>1592.4939999999999</v>
      </c>
      <c r="V30" s="9">
        <v>1847.01</v>
      </c>
      <c r="W30" s="9">
        <v>1922.7388000000001</v>
      </c>
      <c r="X30" s="9">
        <v>1841.0128299999999</v>
      </c>
      <c r="Y30" s="9">
        <v>1704.5977800000001</v>
      </c>
      <c r="Z30" s="9">
        <v>1931.134</v>
      </c>
      <c r="AA30" s="9">
        <v>1699</v>
      </c>
      <c r="AB30" s="9">
        <v>1890</v>
      </c>
      <c r="AC30" s="9">
        <v>1669.3119999999999</v>
      </c>
      <c r="AD30" s="12">
        <v>1741.289</v>
      </c>
      <c r="AE30" s="12">
        <v>1717.046</v>
      </c>
      <c r="AF30" s="12">
        <v>2519.4900000000002</v>
      </c>
      <c r="AG30" s="12">
        <v>1483.588</v>
      </c>
      <c r="AH30" s="12">
        <v>1547.347</v>
      </c>
    </row>
    <row r="31" spans="1:34" ht="15.75" x14ac:dyDescent="0.25">
      <c r="A31" s="7" t="s">
        <v>20</v>
      </c>
      <c r="B31" s="8">
        <v>491</v>
      </c>
      <c r="C31" s="9">
        <v>408</v>
      </c>
      <c r="D31" s="9">
        <v>601</v>
      </c>
      <c r="E31" s="9">
        <v>821</v>
      </c>
      <c r="F31" s="9">
        <v>876</v>
      </c>
      <c r="G31" s="9">
        <v>906</v>
      </c>
      <c r="H31" s="9">
        <v>1152</v>
      </c>
      <c r="I31" s="9">
        <v>1667</v>
      </c>
      <c r="J31" s="9">
        <v>1061</v>
      </c>
      <c r="K31" s="9">
        <v>1240</v>
      </c>
      <c r="L31" s="63">
        <v>1367.2874999999999</v>
      </c>
      <c r="M31" s="63">
        <v>1182</v>
      </c>
      <c r="N31" s="63">
        <v>1000</v>
      </c>
      <c r="O31" s="63">
        <v>1242.6088999999999</v>
      </c>
      <c r="P31" s="9">
        <v>1320.1032700000001</v>
      </c>
      <c r="Q31" s="9">
        <v>1321.0886</v>
      </c>
      <c r="R31" s="9">
        <v>2053.7613000000001</v>
      </c>
      <c r="S31" s="9">
        <v>1731.7982</v>
      </c>
      <c r="T31" s="9">
        <v>1666.2924</v>
      </c>
      <c r="U31" s="9">
        <v>1741.4917</v>
      </c>
      <c r="V31" s="9">
        <v>2472</v>
      </c>
      <c r="W31" s="9">
        <v>1911.3497</v>
      </c>
      <c r="X31" s="9">
        <v>1741.0342000000001</v>
      </c>
      <c r="Y31" s="9">
        <v>1730.2746</v>
      </c>
      <c r="Z31" s="9">
        <v>1831.6164000000001</v>
      </c>
      <c r="AA31" s="9">
        <v>1902</v>
      </c>
      <c r="AB31" s="9">
        <v>2062</v>
      </c>
      <c r="AC31" s="9">
        <v>1808.0419999999999</v>
      </c>
      <c r="AD31" s="12">
        <v>1869.423</v>
      </c>
      <c r="AE31" s="12">
        <v>1949.855</v>
      </c>
      <c r="AF31" s="12">
        <v>1894.3489999999999</v>
      </c>
      <c r="AG31" s="12">
        <v>2364.6</v>
      </c>
      <c r="AH31" s="12"/>
    </row>
    <row r="32" spans="1:34" ht="15.75" x14ac:dyDescent="0.25">
      <c r="A32" s="7" t="s">
        <v>21</v>
      </c>
      <c r="B32" s="8">
        <v>503</v>
      </c>
      <c r="C32" s="9">
        <v>421</v>
      </c>
      <c r="D32" s="9">
        <v>556</v>
      </c>
      <c r="E32" s="9">
        <v>1052</v>
      </c>
      <c r="F32" s="9">
        <v>1052</v>
      </c>
      <c r="G32" s="9">
        <v>1260</v>
      </c>
      <c r="H32" s="9">
        <v>1698</v>
      </c>
      <c r="I32" s="9">
        <v>1692</v>
      </c>
      <c r="J32" s="9">
        <v>1101</v>
      </c>
      <c r="K32" s="9">
        <v>1244</v>
      </c>
      <c r="L32" s="9">
        <v>1217.962</v>
      </c>
      <c r="M32" s="9">
        <v>1080</v>
      </c>
      <c r="N32" s="9">
        <v>1021</v>
      </c>
      <c r="O32" s="9">
        <v>1158.19</v>
      </c>
      <c r="P32" s="9">
        <v>1205.50272</v>
      </c>
      <c r="Q32" s="9">
        <v>1380.8958600000001</v>
      </c>
      <c r="R32" s="9">
        <v>2593.0594799999999</v>
      </c>
      <c r="S32" s="9">
        <v>1812.5745999999999</v>
      </c>
      <c r="T32" s="9">
        <v>1495.1241199999999</v>
      </c>
      <c r="U32" s="9">
        <v>1502.711</v>
      </c>
      <c r="V32" s="9">
        <v>1224</v>
      </c>
      <c r="W32" s="9">
        <v>1771.9549999999999</v>
      </c>
      <c r="X32" s="9">
        <v>2106.5095000000001</v>
      </c>
      <c r="Y32" s="9">
        <v>1697.0705</v>
      </c>
      <c r="Z32" s="9">
        <v>1828.3389999999999</v>
      </c>
      <c r="AA32" s="9">
        <v>1603</v>
      </c>
      <c r="AB32" s="9">
        <v>1828</v>
      </c>
      <c r="AC32" s="9">
        <v>1452.4369999999999</v>
      </c>
      <c r="AD32" s="12">
        <v>1764.963</v>
      </c>
      <c r="AE32" s="12">
        <v>2441.87</v>
      </c>
      <c r="AF32" s="12">
        <v>1888.6379999999999</v>
      </c>
      <c r="AG32" s="12">
        <v>1620.325</v>
      </c>
      <c r="AH32" s="12"/>
    </row>
    <row r="33" spans="1:37" ht="15.75" x14ac:dyDescent="0.25">
      <c r="A33" s="7" t="s">
        <v>10</v>
      </c>
      <c r="B33" s="8">
        <v>346</v>
      </c>
      <c r="C33" s="9">
        <v>417</v>
      </c>
      <c r="D33" s="9">
        <v>614</v>
      </c>
      <c r="E33" s="9">
        <v>988</v>
      </c>
      <c r="F33" s="9">
        <v>997</v>
      </c>
      <c r="G33" s="9">
        <v>1076</v>
      </c>
      <c r="H33" s="9">
        <v>1193</v>
      </c>
      <c r="I33" s="9">
        <v>1306</v>
      </c>
      <c r="J33" s="9">
        <v>1286</v>
      </c>
      <c r="K33" s="9">
        <v>1354</v>
      </c>
      <c r="L33" s="9">
        <v>1108.539</v>
      </c>
      <c r="M33" s="9">
        <v>1055</v>
      </c>
      <c r="N33" s="9">
        <v>1273</v>
      </c>
      <c r="O33" s="9">
        <f>1297.0746+15.534+0.614+6.103</f>
        <v>1319.3256000000001</v>
      </c>
      <c r="P33" s="9">
        <v>1153.7683199999999</v>
      </c>
      <c r="Q33" s="9">
        <v>1238.7177999999999</v>
      </c>
      <c r="R33" s="9">
        <v>4041.6767399999999</v>
      </c>
      <c r="S33" s="9">
        <v>1357.6320000000001</v>
      </c>
      <c r="T33" s="9">
        <v>1845.7514000000001</v>
      </c>
      <c r="U33" s="9">
        <v>1690.671</v>
      </c>
      <c r="V33" s="9">
        <v>1860.0607</v>
      </c>
      <c r="W33" s="9">
        <v>2249.4369999999999</v>
      </c>
      <c r="X33" s="9">
        <v>1908.5873999999999</v>
      </c>
      <c r="Y33" s="9">
        <v>1731.914</v>
      </c>
      <c r="Z33" s="9">
        <v>2034.8221000000001</v>
      </c>
      <c r="AA33" s="9">
        <v>1544</v>
      </c>
      <c r="AB33" s="9">
        <v>1790</v>
      </c>
      <c r="AC33" s="9">
        <v>1930.1179999999999</v>
      </c>
      <c r="AD33" s="12">
        <v>1982.684</v>
      </c>
      <c r="AE33" s="12">
        <v>1984.1420000000001</v>
      </c>
      <c r="AF33" s="12">
        <v>2285.0529999999999</v>
      </c>
      <c r="AG33" s="12">
        <v>1770.9290000000001</v>
      </c>
      <c r="AH33" s="12"/>
    </row>
    <row r="34" spans="1:37" ht="15.75" x14ac:dyDescent="0.25">
      <c r="A34" s="7" t="s">
        <v>11</v>
      </c>
      <c r="B34" s="8">
        <v>493</v>
      </c>
      <c r="C34" s="9">
        <v>443</v>
      </c>
      <c r="D34" s="9">
        <v>734</v>
      </c>
      <c r="E34" s="9">
        <v>1189</v>
      </c>
      <c r="F34" s="9">
        <v>1099</v>
      </c>
      <c r="G34" s="9">
        <v>1459</v>
      </c>
      <c r="H34" s="9">
        <v>1331</v>
      </c>
      <c r="I34" s="9">
        <v>1534</v>
      </c>
      <c r="J34" s="9">
        <v>1306</v>
      </c>
      <c r="K34" s="9">
        <v>1513</v>
      </c>
      <c r="L34" s="9">
        <v>1161.0317</v>
      </c>
      <c r="M34" s="9">
        <v>1303</v>
      </c>
      <c r="N34" s="9">
        <v>1243</v>
      </c>
      <c r="O34" s="9">
        <f>1253.4+5.525</f>
        <v>1258.9250000000002</v>
      </c>
      <c r="P34" s="9">
        <f>1275029.81/1000</f>
        <v>1275.02981</v>
      </c>
      <c r="Q34" s="9">
        <v>1216.3045999999999</v>
      </c>
      <c r="R34" s="9">
        <v>2109.7000200000002</v>
      </c>
      <c r="S34" s="9">
        <v>1995.8223</v>
      </c>
      <c r="T34" s="9">
        <v>1805.8116</v>
      </c>
      <c r="U34" s="9">
        <v>1760.8136</v>
      </c>
      <c r="V34" s="9">
        <v>1564.56</v>
      </c>
      <c r="W34" s="9">
        <v>1873.4079999999999</v>
      </c>
      <c r="X34" s="9">
        <v>1823.8665000000001</v>
      </c>
      <c r="Y34" s="9">
        <v>1807.5703000000001</v>
      </c>
      <c r="Z34" s="9">
        <v>1793.8889999999999</v>
      </c>
      <c r="AA34" s="9">
        <v>1579</v>
      </c>
      <c r="AB34" s="9">
        <v>1895</v>
      </c>
      <c r="AC34" s="9">
        <v>1826.568</v>
      </c>
      <c r="AD34" s="12">
        <v>2635.1030000000001</v>
      </c>
      <c r="AE34" s="12">
        <v>1976.28</v>
      </c>
      <c r="AF34" s="146">
        <v>2115.8494999999998</v>
      </c>
      <c r="AG34" s="12">
        <v>1355.174</v>
      </c>
      <c r="AH34" s="12"/>
    </row>
    <row r="35" spans="1:37" ht="15.75" x14ac:dyDescent="0.25">
      <c r="A35" s="7" t="s">
        <v>12</v>
      </c>
      <c r="B35" s="8">
        <v>455</v>
      </c>
      <c r="C35" s="9">
        <v>521</v>
      </c>
      <c r="D35" s="9">
        <v>751</v>
      </c>
      <c r="E35" s="9">
        <v>1201</v>
      </c>
      <c r="F35" s="9">
        <v>889</v>
      </c>
      <c r="G35" s="9">
        <v>1174</v>
      </c>
      <c r="H35" s="9">
        <v>1279</v>
      </c>
      <c r="I35" s="9">
        <v>1400</v>
      </c>
      <c r="J35" s="9">
        <v>1218</v>
      </c>
      <c r="K35" s="9">
        <v>1363</v>
      </c>
      <c r="L35" s="9">
        <v>1256</v>
      </c>
      <c r="M35" s="9">
        <v>1339</v>
      </c>
      <c r="N35" s="9">
        <v>1278</v>
      </c>
      <c r="O35" s="9">
        <f>1183.398+1.36</f>
        <v>1184.7579999999998</v>
      </c>
      <c r="P35" s="9">
        <f>1198833.36/1000</f>
        <v>1198.8333600000001</v>
      </c>
      <c r="Q35" s="9">
        <v>1183.3151499999999</v>
      </c>
      <c r="R35" s="9">
        <v>2006.7609</v>
      </c>
      <c r="S35" s="9">
        <v>1965.1867</v>
      </c>
      <c r="T35" s="9">
        <v>1724.97208</v>
      </c>
      <c r="U35" s="9">
        <v>2008.3630000000001</v>
      </c>
      <c r="V35" s="9">
        <v>1820.8230000000001</v>
      </c>
      <c r="W35" s="64">
        <v>1782.8594000000001</v>
      </c>
      <c r="X35" s="9">
        <v>2060.2067000000002</v>
      </c>
      <c r="Y35" s="9">
        <f>1690.1994</f>
        <v>1690.1994</v>
      </c>
      <c r="Z35" s="9">
        <v>1984.4160199999999</v>
      </c>
      <c r="AA35" s="9">
        <v>1769</v>
      </c>
      <c r="AB35" s="9">
        <v>1906</v>
      </c>
      <c r="AC35" s="9">
        <v>1875.2719999999999</v>
      </c>
      <c r="AD35" s="12">
        <v>2428.1970000000001</v>
      </c>
      <c r="AE35" s="12">
        <v>2592.86</v>
      </c>
      <c r="AF35" s="12">
        <v>2016.068</v>
      </c>
      <c r="AG35" s="12">
        <v>1428.154</v>
      </c>
      <c r="AH35" s="12"/>
    </row>
    <row r="36" spans="1:37" ht="16.5" thickBot="1" x14ac:dyDescent="0.3">
      <c r="A36" s="65" t="s">
        <v>13</v>
      </c>
      <c r="B36" s="66">
        <f t="shared" ref="B36:S36" si="5">SUM(B24:B35)</f>
        <v>5222</v>
      </c>
      <c r="C36" s="67">
        <f t="shared" si="5"/>
        <v>4991</v>
      </c>
      <c r="D36" s="67">
        <f t="shared" si="5"/>
        <v>6535</v>
      </c>
      <c r="E36" s="67">
        <f t="shared" si="5"/>
        <v>10386</v>
      </c>
      <c r="F36" s="67">
        <f t="shared" si="5"/>
        <v>11318</v>
      </c>
      <c r="G36" s="67">
        <f t="shared" si="5"/>
        <v>12383</v>
      </c>
      <c r="H36" s="67">
        <f t="shared" si="5"/>
        <v>14186</v>
      </c>
      <c r="I36" s="67">
        <f t="shared" si="5"/>
        <v>16992</v>
      </c>
      <c r="J36" s="67">
        <f t="shared" si="5"/>
        <v>13928.3874</v>
      </c>
      <c r="K36" s="67">
        <f t="shared" si="5"/>
        <v>14429.6924</v>
      </c>
      <c r="L36" s="67">
        <f t="shared" si="5"/>
        <v>14331.499782000001</v>
      </c>
      <c r="M36" s="67">
        <f t="shared" si="5"/>
        <v>13029.7467</v>
      </c>
      <c r="N36" s="67">
        <f t="shared" si="5"/>
        <v>12485</v>
      </c>
      <c r="O36" s="67">
        <f t="shared" si="5"/>
        <v>14420.499099999999</v>
      </c>
      <c r="P36" s="67">
        <f t="shared" si="5"/>
        <v>14179.930550000001</v>
      </c>
      <c r="Q36" s="67">
        <f t="shared" si="5"/>
        <v>14774.761910000001</v>
      </c>
      <c r="R36" s="67">
        <f t="shared" si="5"/>
        <v>22881.884400000003</v>
      </c>
      <c r="S36" s="67">
        <f t="shared" si="5"/>
        <v>21296.992339999997</v>
      </c>
      <c r="T36" s="68">
        <f t="shared" ref="T36:Y36" si="6">SUM(T24:T35)</f>
        <v>19916.375599999999</v>
      </c>
      <c r="U36" s="68">
        <f t="shared" si="6"/>
        <v>21344.329836000001</v>
      </c>
      <c r="V36" s="68">
        <f t="shared" si="6"/>
        <v>20610.514370000004</v>
      </c>
      <c r="W36" s="69">
        <f t="shared" si="6"/>
        <v>22131.1764</v>
      </c>
      <c r="X36" s="69">
        <f t="shared" si="6"/>
        <v>21823.633729999998</v>
      </c>
      <c r="Y36" s="70">
        <f t="shared" si="6"/>
        <v>20643.980960000001</v>
      </c>
      <c r="Z36" s="70">
        <f t="shared" ref="Z36:AD36" si="7">SUM(Z24:Z35)</f>
        <v>21789.109220000002</v>
      </c>
      <c r="AA36" s="70">
        <f t="shared" si="7"/>
        <v>20182</v>
      </c>
      <c r="AB36" s="70">
        <f t="shared" si="7"/>
        <v>21592.309999999998</v>
      </c>
      <c r="AC36" s="70">
        <f t="shared" si="7"/>
        <v>21689.43</v>
      </c>
      <c r="AD36" s="70">
        <f t="shared" si="7"/>
        <v>22642.181</v>
      </c>
      <c r="AE36" s="70">
        <f>SUM(AE24:AE35)</f>
        <v>23048.040999999997</v>
      </c>
      <c r="AF36" s="70">
        <f>SUM(AF24:AF35)</f>
        <v>25095.552499999998</v>
      </c>
      <c r="AG36" s="70">
        <f>SUM(AG24:AG35)</f>
        <v>20098.018999999997</v>
      </c>
      <c r="AH36" s="70">
        <f>SUM(AH24:AH35)</f>
        <v>8672.7371000000003</v>
      </c>
    </row>
    <row r="37" spans="1:37" ht="16.5" thickTop="1" x14ac:dyDescent="0.25">
      <c r="A37" s="71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3"/>
      <c r="U37" s="73"/>
      <c r="V37" s="73"/>
      <c r="W37" s="74"/>
      <c r="X37" s="74"/>
      <c r="Y37" s="74"/>
      <c r="Z37" s="74"/>
      <c r="AA37" s="74"/>
      <c r="AD37" s="143"/>
      <c r="AE37" s="143"/>
      <c r="AF37" s="143"/>
      <c r="AG37" s="143"/>
    </row>
    <row r="38" spans="1:37" ht="15.75" x14ac:dyDescent="0.25">
      <c r="A38" s="71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</row>
    <row r="39" spans="1:37" ht="15.75" x14ac:dyDescent="0.25">
      <c r="A39" s="71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3"/>
      <c r="U39" s="73"/>
      <c r="V39" s="73"/>
      <c r="W39" s="74"/>
      <c r="X39" s="74"/>
      <c r="Y39" s="74"/>
      <c r="Z39" s="74"/>
      <c r="AA39" s="74"/>
      <c r="AC39" s="121"/>
      <c r="AD39" s="143"/>
      <c r="AE39" s="143"/>
      <c r="AF39" s="121"/>
      <c r="AK39" s="147"/>
    </row>
    <row r="40" spans="1:37" ht="16.5" thickBot="1" x14ac:dyDescent="0.3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6"/>
      <c r="T40" s="76"/>
      <c r="U40" s="76"/>
      <c r="V40" s="77"/>
      <c r="W40" s="75"/>
      <c r="X40" s="75"/>
      <c r="Y40" s="75"/>
      <c r="Z40" s="75"/>
      <c r="AA40" s="75"/>
      <c r="AD40" s="144"/>
      <c r="AE40" s="144"/>
      <c r="AF40" s="144"/>
      <c r="AG40" s="144"/>
      <c r="AH40" s="144"/>
      <c r="AI40" s="144"/>
    </row>
    <row r="41" spans="1:37" ht="16.5" thickTop="1" x14ac:dyDescent="0.25">
      <c r="A41" s="58" t="s">
        <v>0</v>
      </c>
      <c r="B41" s="168" t="s">
        <v>22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</row>
    <row r="42" spans="1:37" ht="15.75" x14ac:dyDescent="0.25">
      <c r="A42" s="59"/>
      <c r="B42" s="60">
        <v>1991</v>
      </c>
      <c r="C42" s="13">
        <v>1992</v>
      </c>
      <c r="D42" s="13">
        <v>1993</v>
      </c>
      <c r="E42" s="13">
        <v>1994</v>
      </c>
      <c r="F42" s="13">
        <v>1995</v>
      </c>
      <c r="G42" s="13">
        <v>1996</v>
      </c>
      <c r="H42" s="13">
        <v>1997</v>
      </c>
      <c r="I42" s="13">
        <v>1998</v>
      </c>
      <c r="J42" s="13">
        <v>1999</v>
      </c>
      <c r="K42" s="13">
        <v>2000</v>
      </c>
      <c r="L42" s="13">
        <v>2001</v>
      </c>
      <c r="M42" s="13">
        <v>2002</v>
      </c>
      <c r="N42" s="13">
        <v>2003</v>
      </c>
      <c r="O42" s="13">
        <v>2004</v>
      </c>
      <c r="P42" s="13">
        <v>2005</v>
      </c>
      <c r="Q42" s="13">
        <v>2006</v>
      </c>
      <c r="R42" s="13">
        <v>2007</v>
      </c>
      <c r="S42" s="13">
        <v>2008</v>
      </c>
      <c r="T42" s="13">
        <v>2009</v>
      </c>
      <c r="U42" s="13">
        <v>2010</v>
      </c>
      <c r="V42" s="13">
        <v>2011</v>
      </c>
      <c r="W42" s="13">
        <v>2012</v>
      </c>
      <c r="X42" s="13">
        <v>2013</v>
      </c>
      <c r="Y42" s="61">
        <v>2014</v>
      </c>
      <c r="Z42" s="61">
        <v>2015</v>
      </c>
      <c r="AA42" s="61">
        <v>2016</v>
      </c>
      <c r="AB42" s="61">
        <v>2017</v>
      </c>
      <c r="AC42" s="61">
        <v>2018</v>
      </c>
      <c r="AD42" s="61">
        <v>2019</v>
      </c>
      <c r="AE42" s="61">
        <v>2020</v>
      </c>
      <c r="AF42" s="61">
        <v>2021</v>
      </c>
      <c r="AG42" s="61">
        <v>2022</v>
      </c>
      <c r="AH42" s="61">
        <v>2023</v>
      </c>
    </row>
    <row r="43" spans="1:37" ht="15.75" x14ac:dyDescent="0.25">
      <c r="A43" s="7" t="s">
        <v>1</v>
      </c>
      <c r="B43" s="8">
        <v>110</v>
      </c>
      <c r="C43" s="9">
        <v>152</v>
      </c>
      <c r="D43" s="9">
        <v>163</v>
      </c>
      <c r="E43" s="9">
        <v>375</v>
      </c>
      <c r="F43" s="9">
        <v>533</v>
      </c>
      <c r="G43" s="9">
        <v>1112</v>
      </c>
      <c r="H43" s="9">
        <v>1275</v>
      </c>
      <c r="I43" s="9">
        <v>684</v>
      </c>
      <c r="J43" s="9">
        <v>1399</v>
      </c>
      <c r="K43" s="9">
        <v>588</v>
      </c>
      <c r="L43" s="9">
        <v>1770.9680000000001</v>
      </c>
      <c r="M43" s="9">
        <v>1964</v>
      </c>
      <c r="N43" s="10">
        <v>1978</v>
      </c>
      <c r="O43" s="10">
        <v>2449.5050000000001</v>
      </c>
      <c r="P43" s="10">
        <v>3155.8939999999998</v>
      </c>
      <c r="Q43" s="10">
        <f>3045674/1000</f>
        <v>3045.674</v>
      </c>
      <c r="R43" s="11">
        <v>3456.0749999999998</v>
      </c>
      <c r="S43" s="11">
        <v>4036.1275900000001</v>
      </c>
      <c r="T43" s="11">
        <f>2833.1092</f>
        <v>2833.1091999999999</v>
      </c>
      <c r="U43" s="11">
        <v>3269.3265000000001</v>
      </c>
      <c r="V43" s="9">
        <v>1950.0433</v>
      </c>
      <c r="W43" s="9">
        <v>2328.8964999999998</v>
      </c>
      <c r="X43" s="9">
        <v>2948.7379999999998</v>
      </c>
      <c r="Y43" s="12">
        <v>2606.5300000000002</v>
      </c>
      <c r="Z43" s="12">
        <v>2474.6709999999998</v>
      </c>
      <c r="AA43" s="12">
        <v>3096.174</v>
      </c>
      <c r="AB43" s="12">
        <v>3192.6889999999999</v>
      </c>
      <c r="AC43" s="12">
        <v>3402.4490000000001</v>
      </c>
      <c r="AD43" s="12">
        <v>3508.2649999999999</v>
      </c>
      <c r="AE43" s="12">
        <v>3286.7420000000002</v>
      </c>
      <c r="AF43" s="12">
        <v>3043.846</v>
      </c>
      <c r="AG43" s="12">
        <v>3450.9569999999999</v>
      </c>
      <c r="AH43" s="12">
        <v>3437.5120000000002</v>
      </c>
    </row>
    <row r="44" spans="1:37" ht="15.75" x14ac:dyDescent="0.25">
      <c r="A44" s="7" t="s">
        <v>2</v>
      </c>
      <c r="B44" s="8">
        <v>100</v>
      </c>
      <c r="C44" s="9">
        <v>139</v>
      </c>
      <c r="D44" s="9">
        <v>174</v>
      </c>
      <c r="E44" s="9">
        <v>368</v>
      </c>
      <c r="F44" s="9">
        <v>616</v>
      </c>
      <c r="G44" s="9">
        <v>921</v>
      </c>
      <c r="H44" s="9">
        <v>491</v>
      </c>
      <c r="I44" s="9">
        <v>752</v>
      </c>
      <c r="J44" s="9">
        <v>1272.787</v>
      </c>
      <c r="K44" s="9">
        <v>631.85659999999996</v>
      </c>
      <c r="L44" s="9">
        <v>1767.1579999999999</v>
      </c>
      <c r="M44" s="78">
        <v>1794.4121</v>
      </c>
      <c r="N44" s="10">
        <v>1884</v>
      </c>
      <c r="O44" s="10">
        <v>2451.9279999999999</v>
      </c>
      <c r="P44" s="10">
        <v>2845.6275000000001</v>
      </c>
      <c r="Q44" s="10">
        <f>2999275/1000</f>
        <v>2999.2750000000001</v>
      </c>
      <c r="R44" s="11">
        <v>3038.9884999999999</v>
      </c>
      <c r="S44" s="11">
        <v>3282.5019000000002</v>
      </c>
      <c r="T44" s="11">
        <v>2587.2071999999998</v>
      </c>
      <c r="U44" s="11">
        <v>2408.4121799999998</v>
      </c>
      <c r="V44" s="9">
        <v>2073.16</v>
      </c>
      <c r="W44" s="9">
        <v>2652.9140000000002</v>
      </c>
      <c r="X44" s="9">
        <v>2779.84</v>
      </c>
      <c r="Y44" s="12">
        <v>2623.616</v>
      </c>
      <c r="Z44" s="12">
        <v>2473.8180000000002</v>
      </c>
      <c r="AA44" s="12">
        <v>3032.76</v>
      </c>
      <c r="AB44" s="12">
        <v>4213.973</v>
      </c>
      <c r="AC44" s="12">
        <v>3709.0540000000001</v>
      </c>
      <c r="AD44" s="12">
        <v>3261.846</v>
      </c>
      <c r="AE44" s="12">
        <v>3299.364</v>
      </c>
      <c r="AF44" s="12">
        <v>3027.857</v>
      </c>
      <c r="AG44" s="12">
        <v>3402.3319999999999</v>
      </c>
      <c r="AH44" s="12">
        <v>3701.279</v>
      </c>
      <c r="AJ44" s="148"/>
    </row>
    <row r="45" spans="1:37" ht="15.75" x14ac:dyDescent="0.25">
      <c r="A45" s="7" t="s">
        <v>3</v>
      </c>
      <c r="B45" s="8">
        <v>88</v>
      </c>
      <c r="C45" s="9">
        <v>106</v>
      </c>
      <c r="D45" s="9">
        <v>184</v>
      </c>
      <c r="E45" s="9">
        <v>392</v>
      </c>
      <c r="F45" s="9">
        <v>600</v>
      </c>
      <c r="G45" s="9">
        <v>989</v>
      </c>
      <c r="H45" s="9">
        <v>607</v>
      </c>
      <c r="I45" s="9">
        <v>645</v>
      </c>
      <c r="J45" s="9">
        <v>1344.7439999999999</v>
      </c>
      <c r="K45" s="9">
        <v>767</v>
      </c>
      <c r="L45" s="9">
        <v>2053.5740000000001</v>
      </c>
      <c r="M45" s="9">
        <v>1960</v>
      </c>
      <c r="N45" s="10">
        <v>1933</v>
      </c>
      <c r="O45" s="10">
        <v>2630.2755000000002</v>
      </c>
      <c r="P45" s="10">
        <f>3406.90495</f>
        <v>3406.9049500000001</v>
      </c>
      <c r="Q45" s="10">
        <v>3371.0605</v>
      </c>
      <c r="R45" s="11">
        <v>3424.2883499999998</v>
      </c>
      <c r="S45" s="11">
        <v>3252.6777000000002</v>
      </c>
      <c r="T45" s="11">
        <v>2570.777</v>
      </c>
      <c r="U45" s="11">
        <v>2174.7849999999999</v>
      </c>
      <c r="V45" s="9">
        <v>2160.114</v>
      </c>
      <c r="W45" s="9">
        <v>2977.86</v>
      </c>
      <c r="X45" s="9">
        <v>3119.2134000000001</v>
      </c>
      <c r="Y45" s="12">
        <v>2870.2489999999998</v>
      </c>
      <c r="Z45" s="12">
        <v>2647.616</v>
      </c>
      <c r="AA45" s="12">
        <v>2738.3420000000001</v>
      </c>
      <c r="AB45" s="12">
        <v>4054.3870000000002</v>
      </c>
      <c r="AC45" s="12">
        <v>3669.7429999999999</v>
      </c>
      <c r="AD45" s="12">
        <v>3846.4259999999999</v>
      </c>
      <c r="AE45" s="12">
        <v>2699.5569999999998</v>
      </c>
      <c r="AF45" s="12">
        <v>3753.3090000000002</v>
      </c>
      <c r="AG45" s="12">
        <v>3483.1570000000002</v>
      </c>
      <c r="AH45" s="12">
        <v>1841.3030000000001</v>
      </c>
    </row>
    <row r="46" spans="1:37" ht="15.75" x14ac:dyDescent="0.25">
      <c r="A46" s="7" t="s">
        <v>16</v>
      </c>
      <c r="B46" s="8">
        <v>138</v>
      </c>
      <c r="C46" s="9">
        <v>195</v>
      </c>
      <c r="D46" s="9">
        <v>229</v>
      </c>
      <c r="E46" s="9">
        <v>350</v>
      </c>
      <c r="F46" s="9">
        <v>593</v>
      </c>
      <c r="G46" s="9">
        <v>1077</v>
      </c>
      <c r="H46" s="9">
        <v>789</v>
      </c>
      <c r="I46" s="9">
        <v>680</v>
      </c>
      <c r="J46" s="9">
        <v>1063.7929999999999</v>
      </c>
      <c r="K46" s="9">
        <v>691</v>
      </c>
      <c r="L46" s="9">
        <v>1959.0530000000001</v>
      </c>
      <c r="M46" s="9">
        <v>1997</v>
      </c>
      <c r="N46" s="10">
        <v>1864</v>
      </c>
      <c r="O46" s="10">
        <v>2704.4838</v>
      </c>
      <c r="P46" s="10">
        <f>3325.5155+5.917</f>
        <v>3331.4324999999999</v>
      </c>
      <c r="Q46" s="10">
        <v>3072.26</v>
      </c>
      <c r="R46" s="11">
        <v>3347.5445</v>
      </c>
      <c r="S46" s="11">
        <v>3217.6779000000001</v>
      </c>
      <c r="T46" s="11">
        <v>2440.81</v>
      </c>
      <c r="U46" s="11">
        <v>1867.924</v>
      </c>
      <c r="V46" s="9">
        <v>1981.0429999999999</v>
      </c>
      <c r="W46" s="9">
        <v>2954.37</v>
      </c>
      <c r="X46" s="9">
        <v>2852.2379999999998</v>
      </c>
      <c r="Y46" s="12">
        <v>2474.8330000000001</v>
      </c>
      <c r="Z46" s="12">
        <v>2465.8649999999998</v>
      </c>
      <c r="AA46" s="12">
        <v>3151.0810000000001</v>
      </c>
      <c r="AB46" s="12">
        <v>4567.16</v>
      </c>
      <c r="AC46" s="12">
        <v>3619.44</v>
      </c>
      <c r="AD46" s="12">
        <v>3229.5309999999999</v>
      </c>
      <c r="AE46" s="12">
        <v>1893.011</v>
      </c>
      <c r="AF46" s="12">
        <v>3387.7570000000001</v>
      </c>
      <c r="AG46" s="12">
        <v>3314.1680000000001</v>
      </c>
      <c r="AH46" s="12">
        <v>2794.1750000000002</v>
      </c>
    </row>
    <row r="47" spans="1:37" ht="15.75" x14ac:dyDescent="0.25">
      <c r="A47" s="7" t="s">
        <v>17</v>
      </c>
      <c r="B47" s="8">
        <v>124</v>
      </c>
      <c r="C47" s="9">
        <v>137</v>
      </c>
      <c r="D47" s="9">
        <v>212</v>
      </c>
      <c r="E47" s="9">
        <v>437</v>
      </c>
      <c r="F47" s="9">
        <v>714</v>
      </c>
      <c r="G47" s="9">
        <v>1045</v>
      </c>
      <c r="H47" s="9">
        <v>1592</v>
      </c>
      <c r="I47" s="9">
        <v>1005</v>
      </c>
      <c r="J47" s="9">
        <v>824.90300000000002</v>
      </c>
      <c r="K47" s="9">
        <v>759</v>
      </c>
      <c r="L47" s="9">
        <v>1825.4739999999999</v>
      </c>
      <c r="M47" s="9">
        <v>1775</v>
      </c>
      <c r="N47" s="10">
        <v>2054.5740000000001</v>
      </c>
      <c r="O47" s="10">
        <v>2776.3607999999999</v>
      </c>
      <c r="P47" s="10">
        <f>3121.85+49.802</f>
        <v>3171.652</v>
      </c>
      <c r="Q47" s="10">
        <v>2965.4549999999999</v>
      </c>
      <c r="R47" s="11">
        <v>3722.6356999999998</v>
      </c>
      <c r="S47" s="11">
        <v>3254.9886999999999</v>
      </c>
      <c r="T47" s="11">
        <v>2812.5028000000002</v>
      </c>
      <c r="U47" s="11">
        <v>2115.998</v>
      </c>
      <c r="V47" s="9">
        <v>2080.04</v>
      </c>
      <c r="W47" s="9">
        <v>2523.4290000000001</v>
      </c>
      <c r="X47" s="9">
        <v>3322.8407000000002</v>
      </c>
      <c r="Y47" s="12">
        <v>2986.2660000000001</v>
      </c>
      <c r="Z47" s="12">
        <v>2953.6179999999999</v>
      </c>
      <c r="AA47" s="12">
        <v>3095.2660000000001</v>
      </c>
      <c r="AB47" s="12">
        <v>3364.346</v>
      </c>
      <c r="AC47" s="12">
        <v>3818.8739999999998</v>
      </c>
      <c r="AD47" s="12">
        <v>3739.1010000000001</v>
      </c>
      <c r="AE47" s="12">
        <v>2753.056</v>
      </c>
      <c r="AF47" s="12">
        <v>3084.5360000000001</v>
      </c>
      <c r="AG47" s="12">
        <v>3935.288</v>
      </c>
      <c r="AH47" s="12">
        <v>3350.5160000000001</v>
      </c>
    </row>
    <row r="48" spans="1:37" ht="15.75" x14ac:dyDescent="0.25">
      <c r="A48" s="7" t="s">
        <v>18</v>
      </c>
      <c r="B48" s="8">
        <v>112</v>
      </c>
      <c r="C48" s="9">
        <v>121</v>
      </c>
      <c r="D48" s="9">
        <v>245</v>
      </c>
      <c r="E48" s="9">
        <v>426</v>
      </c>
      <c r="F48" s="9">
        <v>751</v>
      </c>
      <c r="G48" s="9">
        <v>1023</v>
      </c>
      <c r="H48" s="9">
        <v>1270</v>
      </c>
      <c r="I48" s="9">
        <v>919</v>
      </c>
      <c r="J48" s="9">
        <v>1079.4275</v>
      </c>
      <c r="K48" s="9">
        <v>648</v>
      </c>
      <c r="L48" s="9">
        <v>1916.001</v>
      </c>
      <c r="M48" s="9">
        <v>1560</v>
      </c>
      <c r="N48" s="10">
        <v>1631</v>
      </c>
      <c r="O48" s="10">
        <v>2565.989</v>
      </c>
      <c r="P48" s="10">
        <v>3300.6480000000001</v>
      </c>
      <c r="Q48" s="10">
        <v>2945.6439</v>
      </c>
      <c r="R48" s="11">
        <v>3702.835</v>
      </c>
      <c r="S48" s="11">
        <v>2832.0284999999999</v>
      </c>
      <c r="T48" s="11">
        <v>3141.473</v>
      </c>
      <c r="U48" s="11">
        <v>1759.47</v>
      </c>
      <c r="V48" s="9">
        <v>2145.38</v>
      </c>
      <c r="W48" s="9">
        <v>2768.7150000000001</v>
      </c>
      <c r="X48" s="9">
        <v>2874.9016000000001</v>
      </c>
      <c r="Y48" s="12">
        <v>2561.373</v>
      </c>
      <c r="Z48" s="12">
        <v>2776.877</v>
      </c>
      <c r="AA48" s="12">
        <v>3094.3249999999998</v>
      </c>
      <c r="AB48" s="12">
        <v>5083</v>
      </c>
      <c r="AC48" s="12">
        <v>3577.2759999999998</v>
      </c>
      <c r="AD48" s="12">
        <v>3884.16</v>
      </c>
      <c r="AE48" s="12">
        <v>3278.4209999999998</v>
      </c>
      <c r="AF48" s="12">
        <v>3180.8290000000002</v>
      </c>
      <c r="AG48" s="12">
        <v>3935.1869999999999</v>
      </c>
      <c r="AH48" s="12">
        <v>3692.252</v>
      </c>
    </row>
    <row r="49" spans="1:35" ht="15.75" x14ac:dyDescent="0.25">
      <c r="A49" s="7" t="s">
        <v>19</v>
      </c>
      <c r="B49" s="8">
        <v>144</v>
      </c>
      <c r="C49" s="9">
        <v>149</v>
      </c>
      <c r="D49" s="9">
        <v>269</v>
      </c>
      <c r="E49" s="9">
        <v>259</v>
      </c>
      <c r="F49" s="9">
        <v>706</v>
      </c>
      <c r="G49" s="9">
        <v>1079</v>
      </c>
      <c r="H49" s="9">
        <v>887</v>
      </c>
      <c r="I49" s="9">
        <v>1368</v>
      </c>
      <c r="J49" s="9">
        <v>949</v>
      </c>
      <c r="K49" s="9">
        <v>603</v>
      </c>
      <c r="L49" s="9">
        <v>1765</v>
      </c>
      <c r="M49" s="9">
        <v>1446.11365</v>
      </c>
      <c r="N49" s="10">
        <v>1788</v>
      </c>
      <c r="O49" s="10">
        <v>2597.9699000000001</v>
      </c>
      <c r="P49" s="10">
        <v>2969.2539999999999</v>
      </c>
      <c r="Q49" s="10">
        <f>3045646.5/1000</f>
        <v>3045.6464999999998</v>
      </c>
      <c r="R49" s="11">
        <v>3345.3690000000001</v>
      </c>
      <c r="S49" s="11">
        <v>3109.3975</v>
      </c>
      <c r="T49" s="11">
        <v>2888</v>
      </c>
      <c r="U49" s="11">
        <v>2032.441</v>
      </c>
      <c r="V49" s="9">
        <v>2322.5410000000002</v>
      </c>
      <c r="W49" s="9">
        <v>2704.4575</v>
      </c>
      <c r="X49" s="9">
        <v>2708.5207999999998</v>
      </c>
      <c r="Y49" s="12">
        <v>2560.5423000000001</v>
      </c>
      <c r="Z49" s="12">
        <v>2702.31</v>
      </c>
      <c r="AA49" s="12">
        <v>2712.665</v>
      </c>
      <c r="AB49" s="12">
        <v>4893.6670000000004</v>
      </c>
      <c r="AC49" s="12">
        <v>3554.942</v>
      </c>
      <c r="AD49" s="12">
        <v>3934.145</v>
      </c>
      <c r="AE49" s="12">
        <v>2900.9740000000002</v>
      </c>
      <c r="AF49" s="12">
        <v>3380.0340000000001</v>
      </c>
      <c r="AG49" s="12">
        <v>3244.8670000000002</v>
      </c>
      <c r="AH49" s="12">
        <v>4198.0619999999999</v>
      </c>
    </row>
    <row r="50" spans="1:35" ht="15.75" x14ac:dyDescent="0.25">
      <c r="A50" s="7" t="s">
        <v>20</v>
      </c>
      <c r="B50" s="8">
        <v>114</v>
      </c>
      <c r="C50" s="9">
        <v>167</v>
      </c>
      <c r="D50" s="9">
        <v>313</v>
      </c>
      <c r="E50" s="9">
        <v>304</v>
      </c>
      <c r="F50" s="9">
        <v>587</v>
      </c>
      <c r="G50" s="9">
        <v>1091</v>
      </c>
      <c r="H50" s="9">
        <v>822</v>
      </c>
      <c r="I50" s="9">
        <v>1381</v>
      </c>
      <c r="J50" s="9">
        <v>696</v>
      </c>
      <c r="K50" s="9">
        <v>801</v>
      </c>
      <c r="L50" s="63">
        <v>1731.75</v>
      </c>
      <c r="M50" s="9">
        <v>1564</v>
      </c>
      <c r="N50" s="10">
        <v>1791</v>
      </c>
      <c r="O50" s="63">
        <v>2744.1269000000002</v>
      </c>
      <c r="P50" s="10">
        <f>2967327/1000</f>
        <v>2967.3270000000002</v>
      </c>
      <c r="Q50" s="10">
        <v>2914.0745000000002</v>
      </c>
      <c r="R50" s="11">
        <v>3519.8977</v>
      </c>
      <c r="S50" s="11">
        <v>2670.7674000000002</v>
      </c>
      <c r="T50" s="11">
        <v>2536.3560000000002</v>
      </c>
      <c r="U50" s="11">
        <v>2008.742</v>
      </c>
      <c r="V50" s="11">
        <v>2366</v>
      </c>
      <c r="W50" s="9">
        <v>2964.1210000000001</v>
      </c>
      <c r="X50" s="9">
        <v>2418.6523999999999</v>
      </c>
      <c r="Y50" s="12">
        <v>2484.2860000000001</v>
      </c>
      <c r="Z50" s="12">
        <v>2870.7460000000001</v>
      </c>
      <c r="AA50" s="12">
        <v>2788.16</v>
      </c>
      <c r="AB50" s="12">
        <v>4503.8760000000002</v>
      </c>
      <c r="AC50" s="12">
        <v>2872.777</v>
      </c>
      <c r="AD50" s="12">
        <v>3567.212</v>
      </c>
      <c r="AE50" s="12">
        <v>3325.268</v>
      </c>
      <c r="AF50" s="12">
        <v>3259.7429999999999</v>
      </c>
      <c r="AG50" s="12">
        <v>3139.2420000000002</v>
      </c>
      <c r="AH50" s="12"/>
    </row>
    <row r="51" spans="1:35" ht="15.75" x14ac:dyDescent="0.25">
      <c r="A51" s="7" t="s">
        <v>21</v>
      </c>
      <c r="B51" s="8">
        <v>79</v>
      </c>
      <c r="C51" s="9">
        <v>168</v>
      </c>
      <c r="D51" s="9">
        <v>308</v>
      </c>
      <c r="E51" s="9">
        <v>383</v>
      </c>
      <c r="F51" s="9">
        <v>716</v>
      </c>
      <c r="G51" s="9">
        <v>1212</v>
      </c>
      <c r="H51" s="9">
        <v>810</v>
      </c>
      <c r="I51" s="9">
        <v>1726</v>
      </c>
      <c r="J51" s="9">
        <v>565</v>
      </c>
      <c r="K51" s="9">
        <v>1341</v>
      </c>
      <c r="L51" s="9">
        <v>1920</v>
      </c>
      <c r="M51" s="9">
        <v>1679</v>
      </c>
      <c r="N51" s="10">
        <v>1976</v>
      </c>
      <c r="O51" s="10">
        <v>2913.4106999999999</v>
      </c>
      <c r="P51" s="10">
        <v>3273.5884999999998</v>
      </c>
      <c r="Q51" s="10">
        <v>3200.9520000000002</v>
      </c>
      <c r="R51" s="11">
        <v>3257.6062999999999</v>
      </c>
      <c r="S51" s="11">
        <v>2972.2707999999998</v>
      </c>
      <c r="T51" s="11">
        <v>2692.7170000000001</v>
      </c>
      <c r="U51" s="11">
        <v>2193.4989999999998</v>
      </c>
      <c r="V51" s="11">
        <v>2221</v>
      </c>
      <c r="W51" s="9">
        <v>2849.5369999999998</v>
      </c>
      <c r="X51" s="9">
        <v>2695.0499</v>
      </c>
      <c r="Y51" s="12">
        <v>2777.9101000000001</v>
      </c>
      <c r="Z51" s="12">
        <v>2977.913</v>
      </c>
      <c r="AA51" s="12">
        <v>3916.2919999999999</v>
      </c>
      <c r="AB51" s="12">
        <v>4136.7190000000001</v>
      </c>
      <c r="AC51" s="12">
        <v>2996.04</v>
      </c>
      <c r="AD51" s="12">
        <v>3265.5529999999999</v>
      </c>
      <c r="AE51" s="12">
        <v>3381.9830000000002</v>
      </c>
      <c r="AF51" s="12">
        <v>3160.067</v>
      </c>
      <c r="AG51" s="12">
        <v>3210.5810000000001</v>
      </c>
      <c r="AH51" s="12"/>
    </row>
    <row r="52" spans="1:35" ht="15.75" x14ac:dyDescent="0.25">
      <c r="A52" s="7" t="s">
        <v>10</v>
      </c>
      <c r="B52" s="8">
        <v>118</v>
      </c>
      <c r="C52" s="9">
        <v>136</v>
      </c>
      <c r="D52" s="9">
        <v>285</v>
      </c>
      <c r="E52" s="9">
        <v>455</v>
      </c>
      <c r="F52" s="9">
        <v>889</v>
      </c>
      <c r="G52" s="9">
        <v>1568</v>
      </c>
      <c r="H52" s="9">
        <v>1467</v>
      </c>
      <c r="I52" s="9">
        <v>1615</v>
      </c>
      <c r="J52" s="9">
        <v>592</v>
      </c>
      <c r="K52" s="9">
        <v>1419</v>
      </c>
      <c r="L52" s="9">
        <v>2137.5309999999999</v>
      </c>
      <c r="M52" s="9">
        <v>1720</v>
      </c>
      <c r="N52" s="10">
        <v>2230</v>
      </c>
      <c r="O52" s="63">
        <f>3210.33+1.521</f>
        <v>3211.8510000000001</v>
      </c>
      <c r="P52" s="10">
        <v>3254.9470000000001</v>
      </c>
      <c r="Q52" s="10">
        <v>3337.4373999999998</v>
      </c>
      <c r="R52" s="11">
        <v>3405.8447999999999</v>
      </c>
      <c r="S52" s="11">
        <v>3278.62</v>
      </c>
      <c r="T52" s="11">
        <v>2698.7867999999999</v>
      </c>
      <c r="U52" s="11">
        <v>2601.8789999999999</v>
      </c>
      <c r="V52" s="11">
        <v>2742.3269</v>
      </c>
      <c r="W52" s="9">
        <v>3002.0039999999999</v>
      </c>
      <c r="X52" s="9">
        <f>2939.364</f>
        <v>2939.364</v>
      </c>
      <c r="Y52" s="12">
        <v>2776.2579999999998</v>
      </c>
      <c r="Z52" s="12">
        <v>2622.9989999999998</v>
      </c>
      <c r="AA52" s="12">
        <v>3583.3</v>
      </c>
      <c r="AB52" s="12">
        <v>3142.7489999999998</v>
      </c>
      <c r="AC52" s="12">
        <v>3531.2469999999998</v>
      </c>
      <c r="AD52" s="12">
        <v>3643.1060000000002</v>
      </c>
      <c r="AE52" s="12">
        <v>3300.9059999999999</v>
      </c>
      <c r="AF52" s="12">
        <v>3310.9520000000002</v>
      </c>
      <c r="AG52" s="12">
        <v>3476.3020000000001</v>
      </c>
      <c r="AH52" s="12"/>
    </row>
    <row r="53" spans="1:35" ht="15.75" x14ac:dyDescent="0.25">
      <c r="A53" s="7" t="s">
        <v>11</v>
      </c>
      <c r="B53" s="8">
        <v>112</v>
      </c>
      <c r="C53" s="9">
        <v>146</v>
      </c>
      <c r="D53" s="9">
        <v>311</v>
      </c>
      <c r="E53" s="9">
        <v>520</v>
      </c>
      <c r="F53" s="9">
        <v>882</v>
      </c>
      <c r="G53" s="9">
        <v>1722</v>
      </c>
      <c r="H53" s="9">
        <v>1493</v>
      </c>
      <c r="I53" s="9">
        <v>1786</v>
      </c>
      <c r="J53" s="9">
        <v>649</v>
      </c>
      <c r="K53" s="9">
        <v>1578</v>
      </c>
      <c r="L53" s="9">
        <v>2032.0540000000001</v>
      </c>
      <c r="M53" s="9">
        <v>2169</v>
      </c>
      <c r="N53" s="10">
        <v>2285</v>
      </c>
      <c r="O53" s="63">
        <f>3117.483+0.991</f>
        <v>3118.4740000000002</v>
      </c>
      <c r="P53" s="10">
        <f>3210694/1000</f>
        <v>3210.694</v>
      </c>
      <c r="Q53" s="10">
        <v>3150.0803999999998</v>
      </c>
      <c r="R53" s="11">
        <v>3368.3879000000002</v>
      </c>
      <c r="S53" s="11">
        <v>3182.5284999999999</v>
      </c>
      <c r="T53" s="11">
        <v>2877.3290000000002</v>
      </c>
      <c r="U53" s="11">
        <v>3037.942</v>
      </c>
      <c r="V53" s="11">
        <v>3147.0120000000002</v>
      </c>
      <c r="W53" s="9">
        <v>3109.6770000000001</v>
      </c>
      <c r="X53" s="9">
        <v>2822.02</v>
      </c>
      <c r="Y53" s="12">
        <v>2862.5259999999998</v>
      </c>
      <c r="Z53" s="12">
        <v>2611.8150000000001</v>
      </c>
      <c r="AA53" s="12">
        <v>3882.848</v>
      </c>
      <c r="AB53" s="12">
        <v>3566</v>
      </c>
      <c r="AC53" s="12">
        <v>3566.877</v>
      </c>
      <c r="AD53" s="12">
        <v>3048.0889999999999</v>
      </c>
      <c r="AE53" s="12">
        <v>3400.2930000000001</v>
      </c>
      <c r="AF53" s="12">
        <v>3184.0529999999999</v>
      </c>
      <c r="AG53" s="12">
        <v>3009.6489999999999</v>
      </c>
      <c r="AH53" s="12"/>
    </row>
    <row r="54" spans="1:35" ht="15.75" x14ac:dyDescent="0.25">
      <c r="A54" s="7" t="s">
        <v>12</v>
      </c>
      <c r="B54" s="8">
        <v>128</v>
      </c>
      <c r="C54" s="9">
        <v>158</v>
      </c>
      <c r="D54" s="9">
        <v>372</v>
      </c>
      <c r="E54" s="9">
        <v>479</v>
      </c>
      <c r="F54" s="9">
        <v>839</v>
      </c>
      <c r="G54" s="9">
        <v>1788</v>
      </c>
      <c r="H54" s="9">
        <v>1237</v>
      </c>
      <c r="I54" s="9">
        <v>1414</v>
      </c>
      <c r="J54" s="9">
        <v>1269</v>
      </c>
      <c r="K54" s="9">
        <v>1757</v>
      </c>
      <c r="L54" s="9">
        <v>1912</v>
      </c>
      <c r="M54" s="9">
        <v>1825</v>
      </c>
      <c r="N54" s="10">
        <v>2100</v>
      </c>
      <c r="O54" s="10">
        <f>3270.382+38.185</f>
        <v>3308.567</v>
      </c>
      <c r="P54" s="10">
        <f>3342607/1000</f>
        <v>3342.607</v>
      </c>
      <c r="Q54" s="10">
        <v>3415.817</v>
      </c>
      <c r="R54" s="11">
        <v>3247.6412</v>
      </c>
      <c r="S54" s="11">
        <v>2603.62</v>
      </c>
      <c r="T54" s="11">
        <v>2647.422</v>
      </c>
      <c r="U54" s="11">
        <v>2281.8919999999998</v>
      </c>
      <c r="V54" s="11">
        <v>2836.6550000000002</v>
      </c>
      <c r="W54" s="79">
        <v>2984.5880000000002</v>
      </c>
      <c r="X54" s="9">
        <v>2648.5043999999998</v>
      </c>
      <c r="Y54" s="12">
        <f>2612.813</f>
        <v>2612.8130000000001</v>
      </c>
      <c r="Z54" s="12">
        <v>3082.067</v>
      </c>
      <c r="AA54" s="12">
        <v>4284.384</v>
      </c>
      <c r="AB54" s="12">
        <v>2993</v>
      </c>
      <c r="AC54" s="12">
        <v>3347.931</v>
      </c>
      <c r="AD54" s="12">
        <v>3161.1559999999999</v>
      </c>
      <c r="AE54" s="12">
        <v>3152.6320000000001</v>
      </c>
      <c r="AF54" s="12">
        <v>3303.1239999999998</v>
      </c>
      <c r="AG54" s="12">
        <v>3555.0120000000002</v>
      </c>
      <c r="AH54" s="12"/>
    </row>
    <row r="55" spans="1:35" ht="16.5" thickBot="1" x14ac:dyDescent="0.3">
      <c r="A55" s="65" t="s">
        <v>13</v>
      </c>
      <c r="B55" s="66">
        <f t="shared" ref="B55:S55" si="8">SUM(B43:B54)</f>
        <v>1367</v>
      </c>
      <c r="C55" s="67">
        <f t="shared" si="8"/>
        <v>1774</v>
      </c>
      <c r="D55" s="67">
        <f t="shared" si="8"/>
        <v>3065</v>
      </c>
      <c r="E55" s="67">
        <f t="shared" si="8"/>
        <v>4748</v>
      </c>
      <c r="F55" s="67">
        <f t="shared" si="8"/>
        <v>8426</v>
      </c>
      <c r="G55" s="67">
        <f t="shared" si="8"/>
        <v>14627</v>
      </c>
      <c r="H55" s="67">
        <f t="shared" si="8"/>
        <v>12740</v>
      </c>
      <c r="I55" s="67">
        <f t="shared" si="8"/>
        <v>13975</v>
      </c>
      <c r="J55" s="67">
        <f t="shared" si="8"/>
        <v>11704.654500000001</v>
      </c>
      <c r="K55" s="67">
        <f t="shared" si="8"/>
        <v>11583.856599999999</v>
      </c>
      <c r="L55" s="67">
        <f t="shared" si="8"/>
        <v>22790.563000000002</v>
      </c>
      <c r="M55" s="67">
        <f t="shared" si="8"/>
        <v>21453.525750000001</v>
      </c>
      <c r="N55" s="67">
        <f t="shared" si="8"/>
        <v>23514.574000000001</v>
      </c>
      <c r="O55" s="67">
        <f t="shared" si="8"/>
        <v>33472.941600000006</v>
      </c>
      <c r="P55" s="67">
        <f t="shared" si="8"/>
        <v>38230.576450000008</v>
      </c>
      <c r="Q55" s="67">
        <f t="shared" si="8"/>
        <v>37463.376199999999</v>
      </c>
      <c r="R55" s="67">
        <f t="shared" si="8"/>
        <v>40837.113949999999</v>
      </c>
      <c r="S55" s="67">
        <f t="shared" si="8"/>
        <v>37693.206489999997</v>
      </c>
      <c r="T55" s="69">
        <f t="shared" ref="T55:Y55" si="9">SUM(T43:T54)</f>
        <v>32726.49</v>
      </c>
      <c r="U55" s="69">
        <f t="shared" si="9"/>
        <v>27752.310679999999</v>
      </c>
      <c r="V55" s="69">
        <f t="shared" si="9"/>
        <v>28025.315200000001</v>
      </c>
      <c r="W55" s="69">
        <f t="shared" si="9"/>
        <v>33820.569000000003</v>
      </c>
      <c r="X55" s="69">
        <f t="shared" si="9"/>
        <v>34129.883200000004</v>
      </c>
      <c r="Y55" s="70">
        <f t="shared" si="9"/>
        <v>32197.202400000002</v>
      </c>
      <c r="Z55" s="70">
        <f>SUM(Z43:Z54)</f>
        <v>32660.314999999999</v>
      </c>
      <c r="AA55" s="70">
        <v>39375.597000000002</v>
      </c>
      <c r="AB55" s="70">
        <f t="shared" ref="AB55:AH55" si="10">SUM(AB43:AB54)</f>
        <v>47711.565999999992</v>
      </c>
      <c r="AC55" s="70">
        <f t="shared" si="10"/>
        <v>41666.65</v>
      </c>
      <c r="AD55" s="70">
        <f t="shared" si="10"/>
        <v>42088.590000000004</v>
      </c>
      <c r="AE55" s="70">
        <f t="shared" si="10"/>
        <v>36672.206999999995</v>
      </c>
      <c r="AF55" s="70">
        <f t="shared" si="10"/>
        <v>39076.106999999989</v>
      </c>
      <c r="AG55" s="70">
        <f t="shared" si="10"/>
        <v>41156.741999999998</v>
      </c>
      <c r="AH55" s="70">
        <f t="shared" si="10"/>
        <v>23015.099000000002</v>
      </c>
    </row>
    <row r="56" spans="1:35" ht="15.75" thickTop="1" x14ac:dyDescent="0.25">
      <c r="AD56" s="143"/>
      <c r="AE56" s="143"/>
      <c r="AF56" s="143"/>
      <c r="AG56" s="143"/>
    </row>
    <row r="57" spans="1:35" x14ac:dyDescent="0.25"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</row>
    <row r="58" spans="1:35" ht="15.75" x14ac:dyDescent="0.25">
      <c r="A58" s="176" t="s">
        <v>24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AD58" s="143"/>
      <c r="AE58" s="143"/>
      <c r="AF58" s="143"/>
      <c r="AG58" s="143"/>
      <c r="AH58" s="143"/>
    </row>
    <row r="59" spans="1:35" ht="15.75" thickBot="1" x14ac:dyDescent="0.3"/>
    <row r="60" spans="1:35" ht="15.75" thickTop="1" x14ac:dyDescent="0.25">
      <c r="A60" s="40" t="s">
        <v>0</v>
      </c>
      <c r="B60" s="2">
        <v>1991</v>
      </c>
      <c r="C60" s="2">
        <v>1992</v>
      </c>
      <c r="D60" s="2">
        <v>1993</v>
      </c>
      <c r="E60" s="2">
        <v>1994</v>
      </c>
      <c r="F60" s="2">
        <v>1995</v>
      </c>
      <c r="G60" s="2">
        <v>1996</v>
      </c>
      <c r="H60" s="2">
        <v>1997</v>
      </c>
      <c r="I60" s="2">
        <v>1998</v>
      </c>
      <c r="J60" s="2">
        <v>1999</v>
      </c>
      <c r="K60" s="2">
        <v>2000</v>
      </c>
      <c r="L60" s="1">
        <v>2001</v>
      </c>
      <c r="M60" s="1">
        <v>2002</v>
      </c>
      <c r="N60" s="1">
        <v>2003</v>
      </c>
      <c r="O60" s="2">
        <v>2004</v>
      </c>
      <c r="P60" s="2">
        <v>2005</v>
      </c>
      <c r="Q60" s="14">
        <v>2006</v>
      </c>
      <c r="R60" s="1">
        <v>2007</v>
      </c>
      <c r="S60" s="1">
        <v>2008</v>
      </c>
      <c r="T60" s="1">
        <v>2009</v>
      </c>
      <c r="U60" s="2">
        <v>2010</v>
      </c>
      <c r="V60" s="14">
        <v>2011</v>
      </c>
      <c r="W60" s="2">
        <v>2012</v>
      </c>
      <c r="X60" s="2">
        <v>2013</v>
      </c>
      <c r="Y60" s="15">
        <v>2014</v>
      </c>
      <c r="Z60" s="15">
        <v>2015</v>
      </c>
      <c r="AA60" s="15">
        <v>2016</v>
      </c>
      <c r="AB60" s="3">
        <v>2017</v>
      </c>
      <c r="AC60" s="3">
        <v>2018</v>
      </c>
      <c r="AD60" s="3">
        <v>2019</v>
      </c>
      <c r="AE60" s="3">
        <v>2020</v>
      </c>
      <c r="AF60" s="3">
        <v>2021</v>
      </c>
      <c r="AG60" s="3">
        <v>2022</v>
      </c>
      <c r="AH60" s="3">
        <v>2023</v>
      </c>
    </row>
    <row r="61" spans="1:35" x14ac:dyDescent="0.25">
      <c r="A61" s="30" t="s">
        <v>1</v>
      </c>
      <c r="B61" s="4">
        <v>115</v>
      </c>
      <c r="C61" s="4">
        <v>185</v>
      </c>
      <c r="D61" s="4">
        <v>135</v>
      </c>
      <c r="E61" s="4">
        <v>177</v>
      </c>
      <c r="F61" s="4">
        <v>197</v>
      </c>
      <c r="G61" s="4">
        <v>262</v>
      </c>
      <c r="H61" s="4">
        <v>274</v>
      </c>
      <c r="I61" s="4">
        <v>214</v>
      </c>
      <c r="J61" s="4">
        <v>227</v>
      </c>
      <c r="K61" s="4">
        <v>216</v>
      </c>
      <c r="L61" s="31">
        <v>260</v>
      </c>
      <c r="M61" s="31">
        <v>273</v>
      </c>
      <c r="N61" s="31">
        <v>299</v>
      </c>
      <c r="O61" s="4">
        <v>273</v>
      </c>
      <c r="P61" s="4">
        <v>412</v>
      </c>
      <c r="Q61" s="33">
        <v>561</v>
      </c>
      <c r="R61" s="6">
        <v>520</v>
      </c>
      <c r="S61" s="6">
        <v>664</v>
      </c>
      <c r="T61" s="6">
        <v>744</v>
      </c>
      <c r="U61" s="4">
        <v>787</v>
      </c>
      <c r="V61" s="33">
        <v>957</v>
      </c>
      <c r="W61" s="4">
        <v>1154</v>
      </c>
      <c r="X61" s="4">
        <v>1112</v>
      </c>
      <c r="Y61" s="34">
        <v>1315</v>
      </c>
      <c r="Z61" s="34">
        <v>1247</v>
      </c>
      <c r="AA61" s="34">
        <v>1217</v>
      </c>
      <c r="AB61" s="46">
        <v>1263</v>
      </c>
      <c r="AC61" s="46">
        <v>1404</v>
      </c>
      <c r="AD61" s="46">
        <v>1317</v>
      </c>
      <c r="AE61" s="46">
        <v>1233</v>
      </c>
      <c r="AF61" s="46">
        <v>958</v>
      </c>
      <c r="AG61" s="46">
        <v>1159</v>
      </c>
      <c r="AH61" s="46">
        <v>1495</v>
      </c>
    </row>
    <row r="62" spans="1:35" x14ac:dyDescent="0.25">
      <c r="A62" s="30" t="s">
        <v>2</v>
      </c>
      <c r="B62" s="4">
        <v>111</v>
      </c>
      <c r="C62" s="4">
        <v>166</v>
      </c>
      <c r="D62" s="4">
        <v>129</v>
      </c>
      <c r="E62" s="4">
        <v>173</v>
      </c>
      <c r="F62" s="4">
        <v>194</v>
      </c>
      <c r="G62" s="4">
        <v>233</v>
      </c>
      <c r="H62" s="4">
        <v>228</v>
      </c>
      <c r="I62" s="4">
        <v>205</v>
      </c>
      <c r="J62" s="4">
        <v>265</v>
      </c>
      <c r="K62" s="4">
        <v>207</v>
      </c>
      <c r="L62" s="31">
        <v>229</v>
      </c>
      <c r="M62" s="31">
        <v>255</v>
      </c>
      <c r="N62" s="31">
        <v>278</v>
      </c>
      <c r="O62" s="4">
        <v>293</v>
      </c>
      <c r="P62" s="4">
        <v>398</v>
      </c>
      <c r="Q62" s="33">
        <v>495</v>
      </c>
      <c r="R62" s="6">
        <v>477</v>
      </c>
      <c r="S62" s="6">
        <v>680</v>
      </c>
      <c r="T62" s="6">
        <v>641</v>
      </c>
      <c r="U62" s="4">
        <v>674</v>
      </c>
      <c r="V62" s="33">
        <v>795</v>
      </c>
      <c r="W62" s="4">
        <v>1103</v>
      </c>
      <c r="X62" s="4">
        <v>1020</v>
      </c>
      <c r="Y62" s="34">
        <v>1081</v>
      </c>
      <c r="Z62" s="34">
        <v>1082</v>
      </c>
      <c r="AA62" s="34">
        <v>1192</v>
      </c>
      <c r="AB62" s="46">
        <v>1194</v>
      </c>
      <c r="AC62" s="46">
        <v>1199</v>
      </c>
      <c r="AD62" s="46">
        <v>1192</v>
      </c>
      <c r="AE62" s="46">
        <v>1196</v>
      </c>
      <c r="AF62" s="46">
        <v>916</v>
      </c>
      <c r="AG62" s="46">
        <v>1017</v>
      </c>
      <c r="AH62" s="46">
        <v>1310</v>
      </c>
    </row>
    <row r="63" spans="1:35" x14ac:dyDescent="0.25">
      <c r="A63" s="30" t="s">
        <v>3</v>
      </c>
      <c r="B63" s="4">
        <v>112</v>
      </c>
      <c r="C63" s="4">
        <v>154</v>
      </c>
      <c r="D63" s="4">
        <v>152</v>
      </c>
      <c r="E63" s="4">
        <v>182</v>
      </c>
      <c r="F63" s="4">
        <v>220</v>
      </c>
      <c r="G63" s="4">
        <v>254</v>
      </c>
      <c r="H63" s="4">
        <v>242</v>
      </c>
      <c r="I63" s="4">
        <v>261</v>
      </c>
      <c r="J63" s="4">
        <v>227</v>
      </c>
      <c r="K63" s="4">
        <v>272</v>
      </c>
      <c r="L63" s="31">
        <v>254</v>
      </c>
      <c r="M63" s="31">
        <v>279</v>
      </c>
      <c r="N63" s="32">
        <v>272</v>
      </c>
      <c r="O63" s="4">
        <v>329</v>
      </c>
      <c r="P63" s="4">
        <v>396</v>
      </c>
      <c r="Q63" s="33">
        <v>565</v>
      </c>
      <c r="R63" s="6">
        <v>526</v>
      </c>
      <c r="S63" s="6">
        <v>675</v>
      </c>
      <c r="T63" s="6">
        <v>714</v>
      </c>
      <c r="U63" s="4">
        <v>687</v>
      </c>
      <c r="V63" s="33">
        <v>904</v>
      </c>
      <c r="W63" s="4">
        <v>1127</v>
      </c>
      <c r="X63" s="4">
        <v>1086</v>
      </c>
      <c r="Y63" s="34">
        <v>1246</v>
      </c>
      <c r="Z63" s="34">
        <v>1246</v>
      </c>
      <c r="AA63" s="34">
        <v>1253</v>
      </c>
      <c r="AB63" s="46">
        <v>1333</v>
      </c>
      <c r="AC63" s="46">
        <v>1333</v>
      </c>
      <c r="AD63" s="46">
        <v>1338</v>
      </c>
      <c r="AE63" s="46">
        <v>870</v>
      </c>
      <c r="AF63" s="46">
        <v>1011</v>
      </c>
      <c r="AG63" s="46">
        <v>1140</v>
      </c>
      <c r="AH63" s="46">
        <v>1440</v>
      </c>
    </row>
    <row r="64" spans="1:35" x14ac:dyDescent="0.25">
      <c r="A64" s="30" t="s">
        <v>16</v>
      </c>
      <c r="B64" s="4">
        <v>109</v>
      </c>
      <c r="C64" s="4">
        <v>155</v>
      </c>
      <c r="D64" s="4">
        <v>182</v>
      </c>
      <c r="E64" s="4">
        <v>165</v>
      </c>
      <c r="F64" s="4">
        <v>249</v>
      </c>
      <c r="G64" s="4">
        <v>219</v>
      </c>
      <c r="H64" s="4">
        <v>242</v>
      </c>
      <c r="I64" s="4">
        <v>212</v>
      </c>
      <c r="J64" s="4">
        <v>203</v>
      </c>
      <c r="K64" s="4">
        <v>232</v>
      </c>
      <c r="L64" s="31">
        <v>259</v>
      </c>
      <c r="M64" s="31">
        <v>291</v>
      </c>
      <c r="N64" s="32">
        <v>182</v>
      </c>
      <c r="O64" s="4">
        <v>298</v>
      </c>
      <c r="P64" s="4">
        <v>394</v>
      </c>
      <c r="Q64" s="33">
        <v>537</v>
      </c>
      <c r="R64" s="6">
        <v>537</v>
      </c>
      <c r="S64" s="6">
        <v>647</v>
      </c>
      <c r="T64" s="6">
        <v>726</v>
      </c>
      <c r="U64" s="4">
        <v>634</v>
      </c>
      <c r="V64" s="33">
        <v>865</v>
      </c>
      <c r="W64" s="4">
        <v>1181</v>
      </c>
      <c r="X64" s="4">
        <v>1036</v>
      </c>
      <c r="Y64" s="34">
        <v>1231</v>
      </c>
      <c r="Z64" s="34">
        <v>1241</v>
      </c>
      <c r="AA64" s="34">
        <v>1164</v>
      </c>
      <c r="AB64" s="46">
        <v>1283</v>
      </c>
      <c r="AC64" s="46">
        <v>1231</v>
      </c>
      <c r="AD64" s="46">
        <v>1346</v>
      </c>
      <c r="AE64" s="46">
        <v>218</v>
      </c>
      <c r="AF64" s="46">
        <v>1041</v>
      </c>
      <c r="AG64" s="46">
        <v>1120</v>
      </c>
      <c r="AH64" s="46">
        <v>2356</v>
      </c>
    </row>
    <row r="65" spans="1:35" x14ac:dyDescent="0.25">
      <c r="A65" s="30" t="s">
        <v>17</v>
      </c>
      <c r="B65" s="4">
        <v>85</v>
      </c>
      <c r="C65" s="4">
        <v>143</v>
      </c>
      <c r="D65" s="4">
        <v>123</v>
      </c>
      <c r="E65" s="4">
        <v>183</v>
      </c>
      <c r="F65" s="4">
        <v>197</v>
      </c>
      <c r="G65" s="4">
        <v>219</v>
      </c>
      <c r="H65" s="4">
        <v>296</v>
      </c>
      <c r="I65" s="4">
        <v>206</v>
      </c>
      <c r="J65" s="4">
        <v>201</v>
      </c>
      <c r="K65" s="4">
        <v>252</v>
      </c>
      <c r="L65" s="31">
        <v>219</v>
      </c>
      <c r="M65" s="31">
        <v>319</v>
      </c>
      <c r="N65" s="32">
        <v>274</v>
      </c>
      <c r="O65" s="4">
        <v>265</v>
      </c>
      <c r="P65" s="4">
        <v>359</v>
      </c>
      <c r="Q65" s="33">
        <v>547</v>
      </c>
      <c r="R65" s="6">
        <v>552</v>
      </c>
      <c r="S65" s="6">
        <v>668</v>
      </c>
      <c r="T65" s="6">
        <v>661</v>
      </c>
      <c r="U65" s="4">
        <v>702</v>
      </c>
      <c r="V65" s="33">
        <v>868</v>
      </c>
      <c r="W65" s="4">
        <v>1155</v>
      </c>
      <c r="X65" s="4">
        <v>1054</v>
      </c>
      <c r="Y65" s="34">
        <v>1227</v>
      </c>
      <c r="Z65" s="34">
        <v>1274</v>
      </c>
      <c r="AA65" s="34">
        <v>1275</v>
      </c>
      <c r="AB65" s="46">
        <v>1287</v>
      </c>
      <c r="AC65" s="46">
        <v>1284</v>
      </c>
      <c r="AD65" s="46">
        <v>1313</v>
      </c>
      <c r="AE65" s="46">
        <v>305</v>
      </c>
      <c r="AF65" s="46">
        <v>1065</v>
      </c>
      <c r="AG65" s="46">
        <v>1256</v>
      </c>
      <c r="AH65" s="46">
        <v>2970</v>
      </c>
    </row>
    <row r="66" spans="1:35" x14ac:dyDescent="0.25">
      <c r="A66" s="30" t="s">
        <v>18</v>
      </c>
      <c r="B66" s="4">
        <v>85</v>
      </c>
      <c r="C66" s="4">
        <v>139</v>
      </c>
      <c r="D66" s="4">
        <v>162</v>
      </c>
      <c r="E66" s="4">
        <v>185</v>
      </c>
      <c r="F66" s="4">
        <v>208</v>
      </c>
      <c r="G66" s="4">
        <v>201</v>
      </c>
      <c r="H66" s="4">
        <v>278</v>
      </c>
      <c r="I66" s="4">
        <v>203</v>
      </c>
      <c r="J66" s="4">
        <v>213</v>
      </c>
      <c r="K66" s="4">
        <v>269</v>
      </c>
      <c r="L66" s="31">
        <v>250</v>
      </c>
      <c r="M66" s="31">
        <v>312</v>
      </c>
      <c r="N66" s="32">
        <v>220</v>
      </c>
      <c r="O66" s="4">
        <v>313</v>
      </c>
      <c r="P66" s="4">
        <v>391</v>
      </c>
      <c r="Q66" s="33">
        <v>503</v>
      </c>
      <c r="R66" s="6">
        <v>513</v>
      </c>
      <c r="S66" s="6">
        <v>667</v>
      </c>
      <c r="T66" s="6">
        <v>680</v>
      </c>
      <c r="U66" s="4">
        <v>813</v>
      </c>
      <c r="V66" s="33">
        <v>959</v>
      </c>
      <c r="W66" s="4">
        <v>1134</v>
      </c>
      <c r="X66" s="4">
        <v>1095</v>
      </c>
      <c r="Y66" s="34">
        <v>1259</v>
      </c>
      <c r="Z66" s="34">
        <v>1221</v>
      </c>
      <c r="AA66" s="34">
        <v>1146</v>
      </c>
      <c r="AB66" s="46">
        <v>1228</v>
      </c>
      <c r="AC66" s="46">
        <v>1572</v>
      </c>
      <c r="AD66" s="46">
        <v>1281</v>
      </c>
      <c r="AE66" s="46">
        <v>392</v>
      </c>
      <c r="AF66" s="46">
        <v>1006</v>
      </c>
      <c r="AG66" s="46">
        <v>1346</v>
      </c>
      <c r="AH66" s="46">
        <v>1632</v>
      </c>
    </row>
    <row r="67" spans="1:35" x14ac:dyDescent="0.25">
      <c r="A67" s="30" t="s">
        <v>19</v>
      </c>
      <c r="B67" s="4">
        <v>87</v>
      </c>
      <c r="C67" s="4">
        <v>127</v>
      </c>
      <c r="D67" s="4">
        <v>147</v>
      </c>
      <c r="E67" s="4">
        <v>217</v>
      </c>
      <c r="F67" s="4">
        <v>256</v>
      </c>
      <c r="G67" s="4">
        <v>234</v>
      </c>
      <c r="H67" s="4">
        <v>243</v>
      </c>
      <c r="I67" s="4">
        <v>233</v>
      </c>
      <c r="J67" s="4">
        <v>220</v>
      </c>
      <c r="K67" s="4">
        <v>268</v>
      </c>
      <c r="L67" s="31">
        <v>229</v>
      </c>
      <c r="M67" s="31">
        <v>292</v>
      </c>
      <c r="N67" s="32">
        <v>238</v>
      </c>
      <c r="O67" s="4">
        <v>339</v>
      </c>
      <c r="P67" s="4">
        <v>475</v>
      </c>
      <c r="Q67" s="33">
        <v>518</v>
      </c>
      <c r="R67" s="6">
        <v>552</v>
      </c>
      <c r="S67" s="6">
        <v>740</v>
      </c>
      <c r="T67" s="6">
        <v>747</v>
      </c>
      <c r="U67" s="4">
        <v>901</v>
      </c>
      <c r="V67" s="33">
        <v>1178</v>
      </c>
      <c r="W67" s="4">
        <v>1296</v>
      </c>
      <c r="X67" s="4">
        <v>1138</v>
      </c>
      <c r="Y67" s="34">
        <v>1381</v>
      </c>
      <c r="Z67" s="34">
        <v>1172</v>
      </c>
      <c r="AA67" s="34">
        <v>1402</v>
      </c>
      <c r="AB67" s="46">
        <v>1280</v>
      </c>
      <c r="AC67" s="46">
        <v>1394</v>
      </c>
      <c r="AD67" s="46">
        <v>1425</v>
      </c>
      <c r="AE67" s="46">
        <v>456</v>
      </c>
      <c r="AF67" s="46">
        <v>1136</v>
      </c>
      <c r="AG67" s="46">
        <v>1436</v>
      </c>
      <c r="AH67" s="46">
        <v>2302</v>
      </c>
    </row>
    <row r="68" spans="1:35" x14ac:dyDescent="0.25">
      <c r="A68" s="30" t="s">
        <v>20</v>
      </c>
      <c r="B68" s="4">
        <v>97</v>
      </c>
      <c r="C68" s="4">
        <v>150</v>
      </c>
      <c r="D68" s="4">
        <v>150</v>
      </c>
      <c r="E68" s="4">
        <v>191</v>
      </c>
      <c r="F68" s="4">
        <v>219</v>
      </c>
      <c r="G68" s="4">
        <v>212</v>
      </c>
      <c r="H68" s="4">
        <v>203</v>
      </c>
      <c r="I68" s="4">
        <v>272</v>
      </c>
      <c r="J68" s="4">
        <v>225</v>
      </c>
      <c r="K68" s="4">
        <v>282</v>
      </c>
      <c r="L68" s="31">
        <v>236</v>
      </c>
      <c r="M68" s="31">
        <v>279</v>
      </c>
      <c r="N68" s="32">
        <v>268</v>
      </c>
      <c r="O68" s="4">
        <v>324</v>
      </c>
      <c r="P68" s="4">
        <v>417</v>
      </c>
      <c r="Q68" s="33">
        <v>521</v>
      </c>
      <c r="R68" s="6">
        <v>589</v>
      </c>
      <c r="S68" s="6">
        <v>773</v>
      </c>
      <c r="T68" s="6">
        <v>756</v>
      </c>
      <c r="U68" s="4">
        <v>872</v>
      </c>
      <c r="V68" s="33">
        <v>1153</v>
      </c>
      <c r="W68" s="4">
        <v>1207</v>
      </c>
      <c r="X68" s="4">
        <v>1021</v>
      </c>
      <c r="Y68" s="34">
        <v>1395</v>
      </c>
      <c r="Z68" s="34">
        <v>1180</v>
      </c>
      <c r="AA68" s="34">
        <v>1396</v>
      </c>
      <c r="AB68" s="46">
        <v>1281</v>
      </c>
      <c r="AC68" s="46">
        <v>1331</v>
      </c>
      <c r="AD68" s="46">
        <v>1448</v>
      </c>
      <c r="AE68" s="46">
        <v>607</v>
      </c>
      <c r="AF68" s="46">
        <v>1119</v>
      </c>
      <c r="AG68" s="46">
        <v>1392</v>
      </c>
      <c r="AH68" s="46"/>
    </row>
    <row r="69" spans="1:35" x14ac:dyDescent="0.25">
      <c r="A69" s="30" t="s">
        <v>21</v>
      </c>
      <c r="B69" s="4">
        <v>133</v>
      </c>
      <c r="C69" s="4">
        <v>151</v>
      </c>
      <c r="D69" s="4">
        <v>135</v>
      </c>
      <c r="E69" s="4">
        <v>211</v>
      </c>
      <c r="F69" s="4">
        <v>205</v>
      </c>
      <c r="G69" s="4">
        <v>206</v>
      </c>
      <c r="H69" s="4">
        <v>178</v>
      </c>
      <c r="I69" s="4">
        <v>359</v>
      </c>
      <c r="J69" s="4">
        <v>220</v>
      </c>
      <c r="K69" s="4">
        <v>252</v>
      </c>
      <c r="L69" s="31">
        <v>215</v>
      </c>
      <c r="M69" s="31">
        <v>272</v>
      </c>
      <c r="N69" s="32">
        <v>280</v>
      </c>
      <c r="O69" s="4">
        <v>297</v>
      </c>
      <c r="P69" s="4">
        <v>396</v>
      </c>
      <c r="Q69" s="33">
        <v>523</v>
      </c>
      <c r="R69" s="6">
        <v>565</v>
      </c>
      <c r="S69" s="6">
        <v>668</v>
      </c>
      <c r="T69" s="6">
        <v>740</v>
      </c>
      <c r="U69" s="4">
        <v>802</v>
      </c>
      <c r="V69" s="33">
        <v>1085</v>
      </c>
      <c r="W69" s="4">
        <v>1171</v>
      </c>
      <c r="X69" s="4">
        <v>1054</v>
      </c>
      <c r="Y69" s="34">
        <v>1227</v>
      </c>
      <c r="Z69" s="34">
        <v>1082</v>
      </c>
      <c r="AA69" s="34">
        <v>1342</v>
      </c>
      <c r="AB69" s="46">
        <v>1193</v>
      </c>
      <c r="AC69" s="46">
        <v>1264</v>
      </c>
      <c r="AD69" s="46">
        <v>1365</v>
      </c>
      <c r="AE69" s="46">
        <v>700</v>
      </c>
      <c r="AF69" s="46">
        <v>1115</v>
      </c>
      <c r="AG69" s="46">
        <v>1356</v>
      </c>
      <c r="AH69" s="46"/>
    </row>
    <row r="70" spans="1:35" x14ac:dyDescent="0.25">
      <c r="A70" s="30" t="s">
        <v>10</v>
      </c>
      <c r="B70" s="4">
        <v>127</v>
      </c>
      <c r="C70" s="4">
        <v>162</v>
      </c>
      <c r="D70" s="4">
        <v>177</v>
      </c>
      <c r="E70" s="4">
        <v>189</v>
      </c>
      <c r="F70" s="4">
        <v>226</v>
      </c>
      <c r="G70" s="4">
        <v>209</v>
      </c>
      <c r="H70" s="4">
        <v>201</v>
      </c>
      <c r="I70" s="4">
        <v>322</v>
      </c>
      <c r="J70" s="4">
        <v>247</v>
      </c>
      <c r="K70" s="4">
        <v>234</v>
      </c>
      <c r="L70" s="31">
        <v>222</v>
      </c>
      <c r="M70" s="31">
        <v>290</v>
      </c>
      <c r="N70" s="32">
        <v>310</v>
      </c>
      <c r="O70" s="4">
        <v>347</v>
      </c>
      <c r="P70" s="4">
        <v>470</v>
      </c>
      <c r="Q70" s="33">
        <v>509</v>
      </c>
      <c r="R70" s="6">
        <v>597</v>
      </c>
      <c r="S70" s="6">
        <v>693</v>
      </c>
      <c r="T70" s="6">
        <v>741</v>
      </c>
      <c r="U70" s="4">
        <v>838</v>
      </c>
      <c r="V70" s="33">
        <v>1076</v>
      </c>
      <c r="W70" s="4">
        <v>1235</v>
      </c>
      <c r="X70" s="4">
        <v>1065</v>
      </c>
      <c r="Y70" s="34">
        <v>1170</v>
      </c>
      <c r="Z70" s="34">
        <v>1137</v>
      </c>
      <c r="AA70" s="34">
        <v>1338</v>
      </c>
      <c r="AB70" s="46">
        <v>1228</v>
      </c>
      <c r="AC70" s="46">
        <v>1265</v>
      </c>
      <c r="AD70" s="46">
        <v>1329</v>
      </c>
      <c r="AE70" s="46">
        <v>842</v>
      </c>
      <c r="AF70" s="46">
        <v>1218</v>
      </c>
      <c r="AG70" s="46">
        <v>1317</v>
      </c>
      <c r="AH70" s="46"/>
    </row>
    <row r="71" spans="1:35" x14ac:dyDescent="0.25">
      <c r="A71" s="30" t="s">
        <v>11</v>
      </c>
      <c r="B71" s="4">
        <v>161</v>
      </c>
      <c r="C71" s="4">
        <v>157</v>
      </c>
      <c r="D71" s="4">
        <v>234</v>
      </c>
      <c r="E71" s="4">
        <v>204</v>
      </c>
      <c r="F71" s="4">
        <v>211</v>
      </c>
      <c r="G71" s="4">
        <v>291</v>
      </c>
      <c r="H71" s="4">
        <v>220</v>
      </c>
      <c r="I71" s="4">
        <v>292</v>
      </c>
      <c r="J71" s="4">
        <v>213</v>
      </c>
      <c r="K71" s="4">
        <v>274</v>
      </c>
      <c r="L71" s="31">
        <v>224</v>
      </c>
      <c r="M71" s="31">
        <v>269</v>
      </c>
      <c r="N71" s="32">
        <v>269</v>
      </c>
      <c r="O71" s="4">
        <v>363</v>
      </c>
      <c r="P71" s="4">
        <v>509</v>
      </c>
      <c r="Q71" s="33">
        <v>491</v>
      </c>
      <c r="R71" s="6">
        <v>639</v>
      </c>
      <c r="S71" s="6">
        <v>754</v>
      </c>
      <c r="T71" s="6">
        <v>740</v>
      </c>
      <c r="U71" s="4">
        <v>932</v>
      </c>
      <c r="V71" s="33">
        <v>1169</v>
      </c>
      <c r="W71" s="4">
        <v>1196</v>
      </c>
      <c r="X71" s="4">
        <v>1181</v>
      </c>
      <c r="Y71" s="34">
        <v>1269</v>
      </c>
      <c r="Z71" s="34">
        <v>1248</v>
      </c>
      <c r="AA71" s="34">
        <v>1342</v>
      </c>
      <c r="AB71" s="46">
        <v>1290</v>
      </c>
      <c r="AC71" s="46">
        <v>1332</v>
      </c>
      <c r="AD71" s="46">
        <v>1218</v>
      </c>
      <c r="AE71" s="46">
        <v>905</v>
      </c>
      <c r="AF71" s="46">
        <v>1184</v>
      </c>
      <c r="AG71" s="46">
        <v>1323</v>
      </c>
      <c r="AH71" s="46"/>
    </row>
    <row r="72" spans="1:35" x14ac:dyDescent="0.25">
      <c r="A72" s="30" t="s">
        <v>12</v>
      </c>
      <c r="B72" s="4">
        <v>207</v>
      </c>
      <c r="C72" s="4">
        <v>170</v>
      </c>
      <c r="D72" s="4">
        <v>190</v>
      </c>
      <c r="E72" s="4">
        <v>265</v>
      </c>
      <c r="F72" s="4">
        <v>231</v>
      </c>
      <c r="G72" s="4">
        <v>395</v>
      </c>
      <c r="H72" s="4">
        <v>246</v>
      </c>
      <c r="I72" s="4">
        <v>290</v>
      </c>
      <c r="J72" s="4">
        <v>248</v>
      </c>
      <c r="K72" s="4">
        <v>256</v>
      </c>
      <c r="L72" s="31">
        <v>262</v>
      </c>
      <c r="M72" s="31">
        <v>280</v>
      </c>
      <c r="N72" s="32">
        <v>307</v>
      </c>
      <c r="O72" s="4">
        <v>375</v>
      </c>
      <c r="P72" s="4">
        <v>522</v>
      </c>
      <c r="Q72" s="33">
        <v>521</v>
      </c>
      <c r="R72" s="6">
        <v>646</v>
      </c>
      <c r="S72" s="6">
        <v>762</v>
      </c>
      <c r="T72" s="6">
        <v>804</v>
      </c>
      <c r="U72" s="4">
        <v>932</v>
      </c>
      <c r="V72" s="33">
        <v>1133</v>
      </c>
      <c r="W72" s="4">
        <v>1179</v>
      </c>
      <c r="X72" s="4">
        <v>1337</v>
      </c>
      <c r="Y72" s="34">
        <v>1415</v>
      </c>
      <c r="Z72" s="34">
        <v>1331</v>
      </c>
      <c r="AA72" s="34">
        <v>1271</v>
      </c>
      <c r="AB72" s="46">
        <v>1286</v>
      </c>
      <c r="AC72" s="46">
        <v>1359</v>
      </c>
      <c r="AD72" s="46">
        <v>1364</v>
      </c>
      <c r="AE72" s="46">
        <v>1057</v>
      </c>
      <c r="AF72" s="46">
        <v>1259</v>
      </c>
      <c r="AG72" s="46">
        <v>1461</v>
      </c>
      <c r="AH72" s="46"/>
      <c r="AI72" s="19"/>
    </row>
    <row r="73" spans="1:35" ht="15.75" thickBot="1" x14ac:dyDescent="0.3">
      <c r="A73" s="52" t="s">
        <v>13</v>
      </c>
      <c r="B73" s="18">
        <f>SUM(B61:B72)</f>
        <v>1429</v>
      </c>
      <c r="C73" s="18">
        <f t="shared" ref="C73:L73" si="11">SUM(C61:C72)</f>
        <v>1859</v>
      </c>
      <c r="D73" s="18">
        <f t="shared" si="11"/>
        <v>1916</v>
      </c>
      <c r="E73" s="18">
        <f t="shared" si="11"/>
        <v>2342</v>
      </c>
      <c r="F73" s="18">
        <f t="shared" si="11"/>
        <v>2613</v>
      </c>
      <c r="G73" s="18">
        <f t="shared" si="11"/>
        <v>2935</v>
      </c>
      <c r="H73" s="18">
        <f t="shared" si="11"/>
        <v>2851</v>
      </c>
      <c r="I73" s="18">
        <f t="shared" si="11"/>
        <v>3069</v>
      </c>
      <c r="J73" s="18">
        <f t="shared" si="11"/>
        <v>2709</v>
      </c>
      <c r="K73" s="18">
        <f t="shared" si="11"/>
        <v>3014</v>
      </c>
      <c r="L73" s="54">
        <f t="shared" si="11"/>
        <v>2859</v>
      </c>
      <c r="M73" s="54">
        <f t="shared" ref="M73:Y73" si="12">SUM(M61:M72)</f>
        <v>3411</v>
      </c>
      <c r="N73" s="54">
        <f t="shared" si="12"/>
        <v>3197</v>
      </c>
      <c r="O73" s="18">
        <f t="shared" si="12"/>
        <v>3816</v>
      </c>
      <c r="P73" s="18">
        <f t="shared" si="12"/>
        <v>5139</v>
      </c>
      <c r="Q73" s="54">
        <f t="shared" si="12"/>
        <v>6291</v>
      </c>
      <c r="R73" s="54">
        <f t="shared" si="12"/>
        <v>6713</v>
      </c>
      <c r="S73" s="54">
        <f t="shared" si="12"/>
        <v>8391</v>
      </c>
      <c r="T73" s="54">
        <f t="shared" si="12"/>
        <v>8694</v>
      </c>
      <c r="U73" s="54">
        <f t="shared" si="12"/>
        <v>9574</v>
      </c>
      <c r="V73" s="54">
        <f t="shared" si="12"/>
        <v>12142</v>
      </c>
      <c r="W73" s="80">
        <f t="shared" si="12"/>
        <v>14138</v>
      </c>
      <c r="X73" s="81">
        <f t="shared" si="12"/>
        <v>13199</v>
      </c>
      <c r="Y73" s="81">
        <f t="shared" si="12"/>
        <v>15216</v>
      </c>
      <c r="Z73" s="81">
        <f t="shared" ref="Z73:AH73" si="13">SUM(Z61:Z72)</f>
        <v>14461</v>
      </c>
      <c r="AA73" s="81">
        <f t="shared" si="13"/>
        <v>15338</v>
      </c>
      <c r="AB73" s="55">
        <f t="shared" si="13"/>
        <v>15146</v>
      </c>
      <c r="AC73" s="55">
        <f t="shared" si="13"/>
        <v>15968</v>
      </c>
      <c r="AD73" s="55">
        <f t="shared" si="13"/>
        <v>15936</v>
      </c>
      <c r="AE73" s="55">
        <f t="shared" si="13"/>
        <v>8781</v>
      </c>
      <c r="AF73" s="55">
        <f t="shared" si="13"/>
        <v>13028</v>
      </c>
      <c r="AG73" s="55">
        <f t="shared" si="13"/>
        <v>15323</v>
      </c>
      <c r="AH73" s="55">
        <f t="shared" si="13"/>
        <v>13505</v>
      </c>
    </row>
    <row r="74" spans="1:35" ht="15.75" thickTop="1" x14ac:dyDescent="0.25">
      <c r="A74" s="23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</row>
    <row r="75" spans="1:35" x14ac:dyDescent="0.25">
      <c r="A75" s="23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145"/>
      <c r="AE75" s="145"/>
      <c r="AF75" s="145"/>
      <c r="AG75" s="145"/>
      <c r="AH75" s="145"/>
    </row>
    <row r="76" spans="1:35" ht="15.75" x14ac:dyDescent="0.25">
      <c r="H76" s="176" t="s">
        <v>28</v>
      </c>
      <c r="I76" s="176"/>
      <c r="J76" s="176"/>
      <c r="K76" s="176"/>
      <c r="L76" s="176"/>
      <c r="M76" s="176"/>
      <c r="N76" s="176"/>
      <c r="O76" s="176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</row>
    <row r="78" spans="1:35" ht="15.75" thickBot="1" x14ac:dyDescent="0.3"/>
    <row r="79" spans="1:35" ht="16.5" thickTop="1" thickBot="1" x14ac:dyDescent="0.3">
      <c r="A79" s="172" t="s">
        <v>0</v>
      </c>
      <c r="B79" s="178" t="s">
        <v>25</v>
      </c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</row>
    <row r="80" spans="1:35" ht="15.75" thickTop="1" x14ac:dyDescent="0.25">
      <c r="A80" s="173"/>
      <c r="B80" s="84">
        <v>1991</v>
      </c>
      <c r="C80" s="20">
        <v>1992</v>
      </c>
      <c r="D80" s="20">
        <v>1993</v>
      </c>
      <c r="E80" s="20">
        <v>1994</v>
      </c>
      <c r="F80" s="20">
        <v>1995</v>
      </c>
      <c r="G80" s="20">
        <v>1996</v>
      </c>
      <c r="H80" s="20">
        <v>1997</v>
      </c>
      <c r="I80" s="20">
        <v>1998</v>
      </c>
      <c r="J80" s="20">
        <v>1999</v>
      </c>
      <c r="K80" s="20">
        <v>2000</v>
      </c>
      <c r="L80" s="20">
        <v>2001</v>
      </c>
      <c r="M80" s="16">
        <v>2002</v>
      </c>
      <c r="N80" s="16">
        <v>2003</v>
      </c>
      <c r="O80" s="16">
        <v>2004</v>
      </c>
      <c r="P80" s="16">
        <v>2005</v>
      </c>
      <c r="Q80" s="16">
        <v>2006</v>
      </c>
      <c r="R80" s="20">
        <v>2007</v>
      </c>
      <c r="S80" s="20">
        <v>2008</v>
      </c>
      <c r="T80" s="16">
        <v>2009</v>
      </c>
      <c r="U80" s="16">
        <v>2010</v>
      </c>
      <c r="V80" s="16">
        <v>2011</v>
      </c>
      <c r="W80" s="16">
        <v>2012</v>
      </c>
      <c r="X80" s="16">
        <v>2013</v>
      </c>
      <c r="Y80" s="17">
        <v>2014</v>
      </c>
      <c r="Z80" s="17">
        <v>2015</v>
      </c>
      <c r="AA80" s="17">
        <v>2016</v>
      </c>
      <c r="AB80" s="3">
        <v>2017</v>
      </c>
      <c r="AC80" s="17">
        <v>2018</v>
      </c>
      <c r="AD80" s="17">
        <v>2019</v>
      </c>
      <c r="AE80" s="3">
        <v>2020</v>
      </c>
      <c r="AF80" s="3">
        <v>2021</v>
      </c>
      <c r="AG80" s="3">
        <v>2022</v>
      </c>
      <c r="AH80" s="3">
        <v>2023</v>
      </c>
    </row>
    <row r="81" spans="1:34" x14ac:dyDescent="0.25">
      <c r="A81" s="85" t="s">
        <v>1</v>
      </c>
      <c r="B81" s="86">
        <v>4365</v>
      </c>
      <c r="C81" s="4">
        <v>5985</v>
      </c>
      <c r="D81" s="4">
        <v>5883</v>
      </c>
      <c r="E81" s="4">
        <v>7098</v>
      </c>
      <c r="F81" s="4">
        <v>9530</v>
      </c>
      <c r="G81" s="4">
        <v>12057</v>
      </c>
      <c r="H81" s="4">
        <v>12380</v>
      </c>
      <c r="I81" s="4">
        <v>13379</v>
      </c>
      <c r="J81" s="4">
        <v>14385</v>
      </c>
      <c r="K81" s="4">
        <f>13494+669</f>
        <v>14163</v>
      </c>
      <c r="L81" s="4">
        <f>14224+323</f>
        <v>14547</v>
      </c>
      <c r="M81" s="4">
        <v>14669</v>
      </c>
      <c r="N81" s="4">
        <f>15287+271</f>
        <v>15558</v>
      </c>
      <c r="O81" s="4">
        <v>17237</v>
      </c>
      <c r="P81" s="87">
        <v>21875</v>
      </c>
      <c r="Q81" s="87">
        <v>22997</v>
      </c>
      <c r="R81" s="4">
        <v>28700</v>
      </c>
      <c r="S81" s="4">
        <v>37108</v>
      </c>
      <c r="T81" s="4">
        <v>36717</v>
      </c>
      <c r="U81" s="4">
        <v>41013</v>
      </c>
      <c r="V81" s="4">
        <v>42672</v>
      </c>
      <c r="W81" s="4">
        <v>53759</v>
      </c>
      <c r="X81" s="4">
        <v>56277</v>
      </c>
      <c r="Y81" s="46">
        <v>55972</v>
      </c>
      <c r="Z81" s="46">
        <v>56010</v>
      </c>
      <c r="AA81" s="46">
        <v>54563</v>
      </c>
      <c r="AB81" s="46">
        <v>60601</v>
      </c>
      <c r="AC81" s="46">
        <v>67525</v>
      </c>
      <c r="AD81" s="46">
        <v>71503</v>
      </c>
      <c r="AE81" s="46">
        <v>77403</v>
      </c>
      <c r="AF81" s="46">
        <v>24095</v>
      </c>
      <c r="AG81" s="46">
        <v>47870</v>
      </c>
      <c r="AH81" s="46">
        <v>75065</v>
      </c>
    </row>
    <row r="82" spans="1:34" x14ac:dyDescent="0.25">
      <c r="A82" s="85" t="s">
        <v>2</v>
      </c>
      <c r="B82" s="86">
        <v>5648</v>
      </c>
      <c r="C82" s="4">
        <v>6034</v>
      </c>
      <c r="D82" s="4">
        <v>4870</v>
      </c>
      <c r="E82" s="4">
        <v>6089</v>
      </c>
      <c r="F82" s="4">
        <v>8407</v>
      </c>
      <c r="G82" s="4">
        <v>10819</v>
      </c>
      <c r="H82" s="4">
        <v>11615</v>
      </c>
      <c r="I82" s="4">
        <v>12748</v>
      </c>
      <c r="J82" s="4">
        <v>12823</v>
      </c>
      <c r="K82" s="4">
        <f>12873+270</f>
        <v>13143</v>
      </c>
      <c r="L82" s="4">
        <f>12123+586</f>
        <v>12709</v>
      </c>
      <c r="M82" s="88">
        <v>13027</v>
      </c>
      <c r="N82" s="4">
        <f>14577+210</f>
        <v>14787</v>
      </c>
      <c r="O82" s="4">
        <v>17017</v>
      </c>
      <c r="P82" s="87">
        <v>20000</v>
      </c>
      <c r="Q82" s="87">
        <v>22019</v>
      </c>
      <c r="R82" s="4">
        <v>26005</v>
      </c>
      <c r="S82" s="4">
        <v>33491</v>
      </c>
      <c r="T82" s="4">
        <v>32957</v>
      </c>
      <c r="U82" s="4">
        <v>35503</v>
      </c>
      <c r="V82" s="4">
        <v>33901</v>
      </c>
      <c r="W82" s="4">
        <v>44925</v>
      </c>
      <c r="X82" s="4">
        <v>49198</v>
      </c>
      <c r="Y82" s="46">
        <v>50498</v>
      </c>
      <c r="Z82" s="46">
        <v>49873</v>
      </c>
      <c r="AA82" s="46">
        <v>43348</v>
      </c>
      <c r="AB82" s="46">
        <v>53076</v>
      </c>
      <c r="AC82" s="46">
        <v>59563</v>
      </c>
      <c r="AD82" s="46">
        <v>62708</v>
      </c>
      <c r="AE82" s="46">
        <v>68778</v>
      </c>
      <c r="AF82" s="46">
        <v>26904</v>
      </c>
      <c r="AG82" s="46">
        <v>45696</v>
      </c>
      <c r="AH82" s="46">
        <v>65659</v>
      </c>
    </row>
    <row r="83" spans="1:34" x14ac:dyDescent="0.25">
      <c r="A83" s="85" t="s">
        <v>3</v>
      </c>
      <c r="B83" s="86">
        <v>6523</v>
      </c>
      <c r="C83" s="4">
        <v>4296</v>
      </c>
      <c r="D83" s="4">
        <v>5104</v>
      </c>
      <c r="E83" s="4">
        <v>6605</v>
      </c>
      <c r="F83" s="4">
        <v>9061</v>
      </c>
      <c r="G83" s="4">
        <v>11264</v>
      </c>
      <c r="H83" s="4">
        <v>12684</v>
      </c>
      <c r="I83" s="4">
        <v>14060</v>
      </c>
      <c r="J83" s="4">
        <v>13326</v>
      </c>
      <c r="K83" s="4">
        <f>12904+814</f>
        <v>13718</v>
      </c>
      <c r="L83" s="4">
        <f>12097+275</f>
        <v>12372</v>
      </c>
      <c r="M83" s="4">
        <v>14000</v>
      </c>
      <c r="N83" s="4">
        <v>14705</v>
      </c>
      <c r="O83" s="4">
        <v>17945</v>
      </c>
      <c r="P83" s="87">
        <v>20787</v>
      </c>
      <c r="Q83" s="87">
        <v>22547</v>
      </c>
      <c r="R83" s="4">
        <v>32077</v>
      </c>
      <c r="S83" s="4">
        <v>42575</v>
      </c>
      <c r="T83" s="4">
        <v>35785</v>
      </c>
      <c r="U83" s="4">
        <v>38309</v>
      </c>
      <c r="V83" s="4">
        <v>40969</v>
      </c>
      <c r="W83" s="4">
        <v>49375</v>
      </c>
      <c r="X83" s="4">
        <v>51771</v>
      </c>
      <c r="Y83" s="46">
        <v>51598</v>
      </c>
      <c r="Z83" s="46">
        <v>55442</v>
      </c>
      <c r="AA83" s="46">
        <v>54598</v>
      </c>
      <c r="AB83" s="46">
        <v>56793</v>
      </c>
      <c r="AC83" s="46">
        <v>63918</v>
      </c>
      <c r="AD83" s="46">
        <v>65792</v>
      </c>
      <c r="AE83" s="46">
        <v>36827</v>
      </c>
      <c r="AF83" s="46">
        <v>32958</v>
      </c>
      <c r="AG83" s="46">
        <v>53532</v>
      </c>
      <c r="AH83" s="46">
        <v>52927</v>
      </c>
    </row>
    <row r="84" spans="1:34" x14ac:dyDescent="0.25">
      <c r="A84" s="85" t="s">
        <v>16</v>
      </c>
      <c r="B84" s="86">
        <v>5638</v>
      </c>
      <c r="C84" s="4">
        <v>4970</v>
      </c>
      <c r="D84" s="4">
        <v>5436</v>
      </c>
      <c r="E84" s="4">
        <v>6972</v>
      </c>
      <c r="F84" s="4">
        <v>9559</v>
      </c>
      <c r="G84" s="4">
        <v>10696</v>
      </c>
      <c r="H84" s="4">
        <v>13537</v>
      </c>
      <c r="I84" s="4">
        <v>13801</v>
      </c>
      <c r="J84" s="4">
        <v>13492</v>
      </c>
      <c r="K84" s="4">
        <f>13007+684</f>
        <v>13691</v>
      </c>
      <c r="L84" s="4">
        <f>13052+405</f>
        <v>13457</v>
      </c>
      <c r="M84" s="4">
        <v>13932</v>
      </c>
      <c r="N84" s="4">
        <v>14578</v>
      </c>
      <c r="O84" s="4">
        <v>16822</v>
      </c>
      <c r="P84" s="87">
        <v>19452</v>
      </c>
      <c r="Q84" s="87">
        <v>22776</v>
      </c>
      <c r="R84" s="4">
        <v>28330</v>
      </c>
      <c r="S84" s="4">
        <v>32333</v>
      </c>
      <c r="T84" s="4">
        <v>35441</v>
      </c>
      <c r="U84" s="4">
        <v>36224</v>
      </c>
      <c r="V84" s="4">
        <v>42523</v>
      </c>
      <c r="W84" s="4">
        <v>46426</v>
      </c>
      <c r="X84" s="4">
        <v>49784</v>
      </c>
      <c r="Y84" s="46">
        <v>50049</v>
      </c>
      <c r="Z84" s="46">
        <v>50325</v>
      </c>
      <c r="AA84" s="46">
        <v>50755</v>
      </c>
      <c r="AB84" s="46">
        <v>57639</v>
      </c>
      <c r="AC84" s="46">
        <v>62197</v>
      </c>
      <c r="AD84" s="46">
        <v>66130</v>
      </c>
      <c r="AE84" s="46">
        <v>19</v>
      </c>
      <c r="AF84" s="46">
        <v>35163</v>
      </c>
      <c r="AG84" s="46">
        <v>56449</v>
      </c>
      <c r="AH84" s="46">
        <v>61823</v>
      </c>
    </row>
    <row r="85" spans="1:34" x14ac:dyDescent="0.25">
      <c r="A85" s="85" t="s">
        <v>17</v>
      </c>
      <c r="B85" s="86">
        <v>4764</v>
      </c>
      <c r="C85" s="4">
        <v>5175</v>
      </c>
      <c r="D85" s="4">
        <v>5574</v>
      </c>
      <c r="E85" s="4">
        <v>6954</v>
      </c>
      <c r="F85" s="4">
        <v>10002</v>
      </c>
      <c r="G85" s="4">
        <v>10717</v>
      </c>
      <c r="H85" s="4">
        <v>12732</v>
      </c>
      <c r="I85" s="4">
        <v>14086</v>
      </c>
      <c r="J85" s="4">
        <v>13036</v>
      </c>
      <c r="K85" s="4">
        <f>13882+390</f>
        <v>14272</v>
      </c>
      <c r="L85" s="4">
        <f>13259+508</f>
        <v>13767</v>
      </c>
      <c r="M85" s="4">
        <v>13724</v>
      </c>
      <c r="N85" s="4">
        <v>14968</v>
      </c>
      <c r="O85" s="4">
        <v>18827</v>
      </c>
      <c r="P85" s="87">
        <v>22463</v>
      </c>
      <c r="Q85" s="87">
        <v>25423</v>
      </c>
      <c r="R85" s="4">
        <v>31946</v>
      </c>
      <c r="S85" s="4">
        <v>37678</v>
      </c>
      <c r="T85" s="4">
        <v>36862</v>
      </c>
      <c r="U85" s="4">
        <v>42610</v>
      </c>
      <c r="V85" s="4">
        <v>42586</v>
      </c>
      <c r="W85" s="4">
        <v>48253</v>
      </c>
      <c r="X85" s="4">
        <v>55922</v>
      </c>
      <c r="Y85" s="46">
        <v>54876</v>
      </c>
      <c r="Z85" s="46">
        <v>55059</v>
      </c>
      <c r="AA85" s="46">
        <v>57443</v>
      </c>
      <c r="AB85" s="46">
        <v>60694</v>
      </c>
      <c r="AC85" s="46">
        <v>63917</v>
      </c>
      <c r="AD85" s="46">
        <v>67547</v>
      </c>
      <c r="AE85" s="46">
        <v>176</v>
      </c>
      <c r="AF85" s="46">
        <v>35012</v>
      </c>
      <c r="AG85" s="46">
        <v>58379</v>
      </c>
      <c r="AH85" s="46">
        <v>76999</v>
      </c>
    </row>
    <row r="86" spans="1:34" x14ac:dyDescent="0.25">
      <c r="A86" s="85" t="s">
        <v>18</v>
      </c>
      <c r="B86" s="86">
        <v>4859</v>
      </c>
      <c r="C86" s="4">
        <v>4863</v>
      </c>
      <c r="D86" s="4">
        <v>6065</v>
      </c>
      <c r="E86" s="4">
        <v>7565</v>
      </c>
      <c r="F86" s="4">
        <v>9805</v>
      </c>
      <c r="G86" s="4">
        <v>12012</v>
      </c>
      <c r="H86" s="4">
        <v>13046</v>
      </c>
      <c r="I86" s="4">
        <v>13435</v>
      </c>
      <c r="J86" s="4">
        <v>13653</v>
      </c>
      <c r="K86" s="4">
        <f>13513+588</f>
        <v>14101</v>
      </c>
      <c r="L86" s="4">
        <v>14205</v>
      </c>
      <c r="M86" s="4">
        <v>14349</v>
      </c>
      <c r="N86" s="4">
        <f>22411+836</f>
        <v>23247</v>
      </c>
      <c r="O86" s="4">
        <v>19864</v>
      </c>
      <c r="P86" s="87">
        <v>21870</v>
      </c>
      <c r="Q86" s="87">
        <v>26612</v>
      </c>
      <c r="R86" s="4">
        <v>33127</v>
      </c>
      <c r="S86" s="4">
        <v>40810</v>
      </c>
      <c r="T86" s="4">
        <v>37756</v>
      </c>
      <c r="U86" s="4">
        <v>43102</v>
      </c>
      <c r="V86" s="4">
        <v>46997</v>
      </c>
      <c r="W86" s="89">
        <v>52935</v>
      </c>
      <c r="X86" s="4">
        <v>58451</v>
      </c>
      <c r="Y86" s="46">
        <v>59052</v>
      </c>
      <c r="Z86" s="46">
        <v>58565</v>
      </c>
      <c r="AA86" s="46">
        <v>56049</v>
      </c>
      <c r="AB86" s="46">
        <v>61030</v>
      </c>
      <c r="AC86" s="46">
        <v>66204</v>
      </c>
      <c r="AD86" s="46">
        <v>71778</v>
      </c>
      <c r="AE86" s="46">
        <v>326</v>
      </c>
      <c r="AF86" s="46">
        <v>29209</v>
      </c>
      <c r="AG86" s="46">
        <v>64458</v>
      </c>
      <c r="AH86" s="46">
        <v>80750</v>
      </c>
    </row>
    <row r="87" spans="1:34" x14ac:dyDescent="0.25">
      <c r="A87" s="85" t="s">
        <v>19</v>
      </c>
      <c r="B87" s="86">
        <v>5189</v>
      </c>
      <c r="C87" s="4">
        <v>6069</v>
      </c>
      <c r="D87" s="4">
        <v>7041</v>
      </c>
      <c r="E87" s="4">
        <v>9280</v>
      </c>
      <c r="F87" s="4">
        <v>12943</v>
      </c>
      <c r="G87" s="4">
        <v>14244</v>
      </c>
      <c r="H87" s="4">
        <v>15649</v>
      </c>
      <c r="I87" s="4">
        <v>15664</v>
      </c>
      <c r="J87" s="4">
        <f>15582+408</f>
        <v>15990</v>
      </c>
      <c r="K87" s="4">
        <f>16078+341</f>
        <v>16419</v>
      </c>
      <c r="L87" s="4">
        <f>15905+610</f>
        <v>16515</v>
      </c>
      <c r="M87" s="90">
        <v>17901</v>
      </c>
      <c r="N87" s="90">
        <f>19699+1243</f>
        <v>20942</v>
      </c>
      <c r="O87" s="91">
        <v>22005</v>
      </c>
      <c r="P87" s="90">
        <v>25644</v>
      </c>
      <c r="Q87" s="90">
        <v>29442</v>
      </c>
      <c r="R87" s="4">
        <v>37989</v>
      </c>
      <c r="S87" s="4">
        <v>43630</v>
      </c>
      <c r="T87" s="4">
        <v>44933</v>
      </c>
      <c r="U87" s="4">
        <v>51643</v>
      </c>
      <c r="V87" s="4">
        <v>55724</v>
      </c>
      <c r="W87" s="4">
        <v>58995</v>
      </c>
      <c r="X87" s="4">
        <v>63291</v>
      </c>
      <c r="Y87" s="46">
        <v>59063</v>
      </c>
      <c r="Z87" s="46">
        <v>64305</v>
      </c>
      <c r="AA87" s="46">
        <v>70039</v>
      </c>
      <c r="AB87" s="46">
        <v>75664</v>
      </c>
      <c r="AC87" s="46">
        <v>81881</v>
      </c>
      <c r="AD87" s="46">
        <v>84248</v>
      </c>
      <c r="AE87" s="46">
        <v>3164</v>
      </c>
      <c r="AF87" s="46">
        <v>23594</v>
      </c>
      <c r="AG87" s="46">
        <v>77056</v>
      </c>
      <c r="AH87" s="46">
        <v>93727</v>
      </c>
    </row>
    <row r="88" spans="1:34" x14ac:dyDescent="0.25">
      <c r="A88" s="85" t="s">
        <v>20</v>
      </c>
      <c r="B88" s="86">
        <v>5128</v>
      </c>
      <c r="C88" s="4">
        <v>5786</v>
      </c>
      <c r="D88" s="4">
        <v>6720</v>
      </c>
      <c r="E88" s="4">
        <v>9572</v>
      </c>
      <c r="F88" s="4">
        <v>11310</v>
      </c>
      <c r="G88" s="4">
        <v>13717</v>
      </c>
      <c r="H88" s="4">
        <v>14479</v>
      </c>
      <c r="I88" s="4">
        <v>14454</v>
      </c>
      <c r="J88" s="4">
        <f>15204+493</f>
        <v>15697</v>
      </c>
      <c r="K88" s="4">
        <f>14903+513</f>
        <v>15416</v>
      </c>
      <c r="L88" s="88">
        <f>16156+602</f>
        <v>16758</v>
      </c>
      <c r="M88" s="88">
        <v>16716</v>
      </c>
      <c r="N88" s="88">
        <f>17967+698</f>
        <v>18665</v>
      </c>
      <c r="O88" s="92">
        <v>25512</v>
      </c>
      <c r="P88" s="88">
        <v>27717</v>
      </c>
      <c r="Q88" s="88">
        <v>30433</v>
      </c>
      <c r="R88" s="4">
        <v>36967</v>
      </c>
      <c r="S88" s="4">
        <v>42064</v>
      </c>
      <c r="T88" s="4">
        <v>42744</v>
      </c>
      <c r="U88" s="4">
        <v>49141</v>
      </c>
      <c r="V88" s="4">
        <v>47709</v>
      </c>
      <c r="W88" s="4">
        <v>54046</v>
      </c>
      <c r="X88" s="4">
        <v>59469</v>
      </c>
      <c r="Y88" s="46">
        <v>60391</v>
      </c>
      <c r="Z88" s="46">
        <v>63678</v>
      </c>
      <c r="AA88" s="46">
        <v>65563</v>
      </c>
      <c r="AB88" s="46">
        <v>67890</v>
      </c>
      <c r="AC88" s="46">
        <v>73391</v>
      </c>
      <c r="AD88" s="46">
        <v>78878</v>
      </c>
      <c r="AE88" s="46">
        <v>2865</v>
      </c>
      <c r="AF88" s="46">
        <v>33941</v>
      </c>
      <c r="AG88" s="46">
        <v>72224</v>
      </c>
      <c r="AH88" s="46"/>
    </row>
    <row r="89" spans="1:34" x14ac:dyDescent="0.25">
      <c r="A89" s="85" t="s">
        <v>9</v>
      </c>
      <c r="B89" s="86">
        <v>4580</v>
      </c>
      <c r="C89" s="4">
        <v>5715</v>
      </c>
      <c r="D89" s="4">
        <v>6431</v>
      </c>
      <c r="E89" s="4">
        <v>8503</v>
      </c>
      <c r="F89" s="4">
        <v>11318</v>
      </c>
      <c r="G89" s="4">
        <v>13335</v>
      </c>
      <c r="H89" s="4">
        <v>13494</v>
      </c>
      <c r="I89" s="4">
        <v>13155</v>
      </c>
      <c r="J89" s="4">
        <f>14479+480</f>
        <v>14959</v>
      </c>
      <c r="K89" s="4">
        <f>14411+418</f>
        <v>14829</v>
      </c>
      <c r="L89" s="4">
        <v>14771</v>
      </c>
      <c r="M89" s="90">
        <v>15685</v>
      </c>
      <c r="N89" s="4">
        <f>16475+362</f>
        <v>16837</v>
      </c>
      <c r="O89" s="87">
        <v>20354</v>
      </c>
      <c r="P89" s="4">
        <v>24264</v>
      </c>
      <c r="Q89" s="4">
        <v>30318</v>
      </c>
      <c r="R89" s="4">
        <v>36397</v>
      </c>
      <c r="S89" s="4">
        <v>40022</v>
      </c>
      <c r="T89" s="4">
        <v>38556</v>
      </c>
      <c r="U89" s="4">
        <v>40650</v>
      </c>
      <c r="V89" s="4">
        <v>44206</v>
      </c>
      <c r="W89" s="4">
        <v>53596</v>
      </c>
      <c r="X89" s="4">
        <v>55546</v>
      </c>
      <c r="Y89" s="46">
        <v>50845</v>
      </c>
      <c r="Z89" s="46">
        <v>54031</v>
      </c>
      <c r="AA89" s="46">
        <v>57053</v>
      </c>
      <c r="AB89" s="46">
        <v>61566</v>
      </c>
      <c r="AC89" s="46">
        <v>70022</v>
      </c>
      <c r="AD89" s="46">
        <v>72322</v>
      </c>
      <c r="AE89" s="46">
        <v>6702</v>
      </c>
      <c r="AF89" s="46">
        <v>36971</v>
      </c>
      <c r="AG89" s="46">
        <v>63977</v>
      </c>
      <c r="AH89" s="46"/>
    </row>
    <row r="90" spans="1:34" x14ac:dyDescent="0.25">
      <c r="A90" s="85" t="s">
        <v>10</v>
      </c>
      <c r="B90" s="86">
        <v>4617</v>
      </c>
      <c r="C90" s="4">
        <v>5519</v>
      </c>
      <c r="D90" s="4">
        <v>6586</v>
      </c>
      <c r="E90" s="4">
        <v>8292</v>
      </c>
      <c r="F90" s="4">
        <v>10665</v>
      </c>
      <c r="G90" s="4">
        <v>11988</v>
      </c>
      <c r="H90" s="4">
        <v>13087</v>
      </c>
      <c r="I90" s="4">
        <v>13511</v>
      </c>
      <c r="J90" s="4">
        <f>14482+492</f>
        <v>14974</v>
      </c>
      <c r="K90" s="4">
        <f>13705+311</f>
        <v>14016</v>
      </c>
      <c r="L90" s="4">
        <f>13222+345</f>
        <v>13567</v>
      </c>
      <c r="M90" s="90">
        <v>15015</v>
      </c>
      <c r="N90" s="90">
        <v>18340</v>
      </c>
      <c r="O90" s="91">
        <v>21218</v>
      </c>
      <c r="P90" s="90">
        <v>23200</v>
      </c>
      <c r="Q90" s="90">
        <v>28048</v>
      </c>
      <c r="R90" s="4">
        <v>34075</v>
      </c>
      <c r="S90" s="4">
        <v>39741</v>
      </c>
      <c r="T90" s="4">
        <v>44944</v>
      </c>
      <c r="U90" s="4">
        <v>47062</v>
      </c>
      <c r="V90" s="4">
        <v>50403</v>
      </c>
      <c r="W90" s="4">
        <v>54740</v>
      </c>
      <c r="X90" s="4">
        <v>57259</v>
      </c>
      <c r="Y90" s="46">
        <v>54717</v>
      </c>
      <c r="Z90" s="46">
        <v>54846</v>
      </c>
      <c r="AA90" s="46">
        <v>58042</v>
      </c>
      <c r="AB90" s="120">
        <v>61456</v>
      </c>
      <c r="AC90" s="46">
        <v>66783</v>
      </c>
      <c r="AD90" s="46">
        <v>71588</v>
      </c>
      <c r="AE90" s="120">
        <v>23867</v>
      </c>
      <c r="AF90" s="120">
        <v>45256</v>
      </c>
      <c r="AG90" s="120">
        <v>65010</v>
      </c>
      <c r="AH90" s="46"/>
    </row>
    <row r="91" spans="1:34" x14ac:dyDescent="0.25">
      <c r="A91" s="85" t="s">
        <v>11</v>
      </c>
      <c r="B91" s="86">
        <v>4646</v>
      </c>
      <c r="C91" s="4">
        <v>5633</v>
      </c>
      <c r="D91" s="4">
        <v>6300</v>
      </c>
      <c r="E91" s="4">
        <v>8874</v>
      </c>
      <c r="F91" s="4">
        <v>11025</v>
      </c>
      <c r="G91" s="4">
        <v>12087</v>
      </c>
      <c r="H91" s="4">
        <v>13356</v>
      </c>
      <c r="I91" s="4">
        <v>12708</v>
      </c>
      <c r="J91" s="4">
        <f>13585+301</f>
        <v>13886</v>
      </c>
      <c r="K91" s="4">
        <v>13149</v>
      </c>
      <c r="L91" s="4">
        <f>12549+247</f>
        <v>12796</v>
      </c>
      <c r="M91" s="90">
        <v>14439</v>
      </c>
      <c r="N91" s="90">
        <f>16334+234</f>
        <v>16568</v>
      </c>
      <c r="O91" s="91">
        <v>18688</v>
      </c>
      <c r="P91" s="90">
        <v>21816</v>
      </c>
      <c r="Q91" s="90">
        <v>28739</v>
      </c>
      <c r="R91" s="4">
        <v>31812</v>
      </c>
      <c r="S91" s="4">
        <v>39092</v>
      </c>
      <c r="T91" s="4">
        <v>37418</v>
      </c>
      <c r="U91" s="4">
        <v>44423</v>
      </c>
      <c r="V91" s="4">
        <v>49461</v>
      </c>
      <c r="W91" s="4">
        <v>51276</v>
      </c>
      <c r="X91" s="4">
        <v>56570</v>
      </c>
      <c r="Y91" s="46">
        <v>57654</v>
      </c>
      <c r="Z91" s="46">
        <v>59007</v>
      </c>
      <c r="AA91" s="46">
        <v>58595</v>
      </c>
      <c r="AB91" s="46">
        <v>60876</v>
      </c>
      <c r="AC91" s="46">
        <v>66004</v>
      </c>
      <c r="AD91" s="46">
        <v>74794</v>
      </c>
      <c r="AE91" s="46">
        <v>26332</v>
      </c>
      <c r="AF91" s="46">
        <v>48783</v>
      </c>
      <c r="AG91" s="46">
        <v>61619</v>
      </c>
      <c r="AH91" s="46"/>
    </row>
    <row r="92" spans="1:34" x14ac:dyDescent="0.25">
      <c r="A92" s="85" t="s">
        <v>12</v>
      </c>
      <c r="B92" s="86">
        <v>5205</v>
      </c>
      <c r="C92" s="4">
        <v>6746</v>
      </c>
      <c r="D92" s="4">
        <v>7639</v>
      </c>
      <c r="E92" s="4">
        <v>10249</v>
      </c>
      <c r="F92" s="4">
        <v>13838</v>
      </c>
      <c r="G92" s="4">
        <v>14940</v>
      </c>
      <c r="H92" s="4">
        <v>14819</v>
      </c>
      <c r="I92" s="4">
        <v>14958</v>
      </c>
      <c r="J92" s="4">
        <f>14524+639</f>
        <v>15163</v>
      </c>
      <c r="K92" s="4">
        <v>14739</v>
      </c>
      <c r="L92" s="4">
        <v>14945</v>
      </c>
      <c r="M92" s="90">
        <f>16394+221</f>
        <v>16615</v>
      </c>
      <c r="N92" s="93">
        <f>18781+875</f>
        <v>19656</v>
      </c>
      <c r="O92" s="94">
        <v>22380</v>
      </c>
      <c r="P92" s="90">
        <v>25219</v>
      </c>
      <c r="Q92" s="90">
        <v>32024</v>
      </c>
      <c r="R92" s="4">
        <v>34945</v>
      </c>
      <c r="S92" s="4">
        <v>41853</v>
      </c>
      <c r="T92" s="4">
        <v>44786</v>
      </c>
      <c r="U92" s="4">
        <v>49111</v>
      </c>
      <c r="V92" s="4">
        <v>54753</v>
      </c>
      <c r="W92" s="4">
        <v>58183</v>
      </c>
      <c r="X92" s="4">
        <v>64207</v>
      </c>
      <c r="Y92" s="46">
        <v>61238</v>
      </c>
      <c r="Z92" s="46">
        <v>63011</v>
      </c>
      <c r="AA92" s="46">
        <v>71882</v>
      </c>
      <c r="AB92" s="46">
        <v>76592</v>
      </c>
      <c r="AC92" s="46">
        <v>79793</v>
      </c>
      <c r="AD92" s="46">
        <v>90554</v>
      </c>
      <c r="AE92" s="46">
        <v>33485</v>
      </c>
      <c r="AF92" s="46">
        <v>62997</v>
      </c>
      <c r="AG92" s="46">
        <v>80530</v>
      </c>
      <c r="AH92" s="46"/>
    </row>
    <row r="93" spans="1:34" ht="15.75" thickBot="1" x14ac:dyDescent="0.3">
      <c r="A93" s="95" t="s">
        <v>13</v>
      </c>
      <c r="B93" s="96">
        <f>SUM(B81:B92)</f>
        <v>61162</v>
      </c>
      <c r="C93" s="18">
        <f t="shared" ref="C93:Q93" si="14">SUM(C81:C92)</f>
        <v>66791</v>
      </c>
      <c r="D93" s="18">
        <f t="shared" si="14"/>
        <v>73649</v>
      </c>
      <c r="E93" s="18">
        <f t="shared" si="14"/>
        <v>96053</v>
      </c>
      <c r="F93" s="18">
        <f t="shared" si="14"/>
        <v>127463</v>
      </c>
      <c r="G93" s="18">
        <f t="shared" si="14"/>
        <v>147876</v>
      </c>
      <c r="H93" s="18">
        <f t="shared" si="14"/>
        <v>160878</v>
      </c>
      <c r="I93" s="18">
        <f t="shared" si="14"/>
        <v>165959</v>
      </c>
      <c r="J93" s="18">
        <f t="shared" si="14"/>
        <v>171384</v>
      </c>
      <c r="K93" s="18">
        <f t="shared" si="14"/>
        <v>171656</v>
      </c>
      <c r="L93" s="18">
        <f t="shared" si="14"/>
        <v>170409</v>
      </c>
      <c r="M93" s="18">
        <f t="shared" si="14"/>
        <v>180072</v>
      </c>
      <c r="N93" s="18">
        <f t="shared" si="14"/>
        <v>208851</v>
      </c>
      <c r="O93" s="18">
        <f t="shared" si="14"/>
        <v>237869</v>
      </c>
      <c r="P93" s="18">
        <f t="shared" si="14"/>
        <v>274307</v>
      </c>
      <c r="Q93" s="18">
        <f t="shared" si="14"/>
        <v>321378</v>
      </c>
      <c r="R93" s="18">
        <f t="shared" ref="R93:W93" si="15">SUM(R81:R92)</f>
        <v>392370</v>
      </c>
      <c r="S93" s="18">
        <f t="shared" si="15"/>
        <v>470397</v>
      </c>
      <c r="T93" s="18">
        <f t="shared" si="15"/>
        <v>468899</v>
      </c>
      <c r="U93" s="97">
        <f t="shared" si="15"/>
        <v>518791</v>
      </c>
      <c r="V93" s="97">
        <f t="shared" si="15"/>
        <v>551904</v>
      </c>
      <c r="W93" s="18">
        <f t="shared" si="15"/>
        <v>626509</v>
      </c>
      <c r="X93" s="18">
        <f t="shared" ref="X93:AH93" si="16">SUM(X81:X92)</f>
        <v>677745</v>
      </c>
      <c r="Y93" s="55">
        <f t="shared" si="16"/>
        <v>665953</v>
      </c>
      <c r="Z93" s="55">
        <f t="shared" si="16"/>
        <v>684152</v>
      </c>
      <c r="AA93" s="55">
        <f t="shared" si="16"/>
        <v>697930</v>
      </c>
      <c r="AB93" s="55">
        <f t="shared" si="16"/>
        <v>753877</v>
      </c>
      <c r="AC93" s="55">
        <f t="shared" si="16"/>
        <v>821198</v>
      </c>
      <c r="AD93" s="55">
        <f t="shared" si="16"/>
        <v>877842</v>
      </c>
      <c r="AE93" s="55">
        <f t="shared" si="16"/>
        <v>279944</v>
      </c>
      <c r="AF93" s="55">
        <f t="shared" si="16"/>
        <v>434883</v>
      </c>
      <c r="AG93" s="55">
        <f t="shared" si="16"/>
        <v>746800</v>
      </c>
      <c r="AH93" s="55">
        <f t="shared" si="16"/>
        <v>506950</v>
      </c>
    </row>
    <row r="94" spans="1:34" ht="15.75" thickTop="1" x14ac:dyDescent="0.25">
      <c r="A94" s="23"/>
      <c r="B94" s="98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19"/>
      <c r="V94" s="19"/>
      <c r="W94" s="23"/>
      <c r="X94" s="23"/>
      <c r="Y94" s="23"/>
      <c r="Z94" s="23"/>
      <c r="AA94" s="23"/>
    </row>
    <row r="95" spans="1:34" x14ac:dyDescent="0.25">
      <c r="A95" s="23"/>
      <c r="B95" s="98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19"/>
      <c r="V95" s="19"/>
      <c r="W95" s="23"/>
      <c r="X95" s="23"/>
      <c r="Y95" s="23"/>
      <c r="Z95" s="23"/>
      <c r="AA95" s="23"/>
      <c r="AD95" s="143"/>
      <c r="AE95" s="143"/>
      <c r="AF95" s="143"/>
      <c r="AG95" s="143"/>
      <c r="AH95" s="143"/>
    </row>
    <row r="96" spans="1:34" x14ac:dyDescent="0.25">
      <c r="A96" s="23"/>
      <c r="B96" s="98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19"/>
      <c r="V96" s="19"/>
      <c r="W96" s="23"/>
      <c r="X96" s="23"/>
      <c r="Y96" s="23"/>
      <c r="Z96" s="23"/>
      <c r="AA96" s="23"/>
    </row>
    <row r="97" spans="1:34" ht="15.75" thickBot="1" x14ac:dyDescent="0.3">
      <c r="B97" s="99"/>
      <c r="Z97" s="19"/>
      <c r="AA97" s="19"/>
    </row>
    <row r="98" spans="1:34" ht="16.5" thickTop="1" thickBot="1" x14ac:dyDescent="0.3">
      <c r="A98" s="172" t="s">
        <v>0</v>
      </c>
      <c r="B98" s="178" t="s">
        <v>27</v>
      </c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</row>
    <row r="99" spans="1:34" ht="15.75" thickTop="1" x14ac:dyDescent="0.25">
      <c r="A99" s="173"/>
      <c r="B99" s="84">
        <v>1991</v>
      </c>
      <c r="C99" s="20">
        <v>1992</v>
      </c>
      <c r="D99" s="20">
        <v>1993</v>
      </c>
      <c r="E99" s="20">
        <v>1994</v>
      </c>
      <c r="F99" s="20">
        <v>1995</v>
      </c>
      <c r="G99" s="20">
        <v>1996</v>
      </c>
      <c r="H99" s="20">
        <v>1997</v>
      </c>
      <c r="I99" s="20">
        <v>1998</v>
      </c>
      <c r="J99" s="20">
        <v>1999</v>
      </c>
      <c r="K99" s="20">
        <v>2000</v>
      </c>
      <c r="L99" s="20">
        <v>2001</v>
      </c>
      <c r="M99" s="20">
        <v>2002</v>
      </c>
      <c r="N99" s="20">
        <v>2003</v>
      </c>
      <c r="O99" s="20">
        <v>2004</v>
      </c>
      <c r="P99" s="20">
        <v>2005</v>
      </c>
      <c r="Q99" s="20">
        <v>2006</v>
      </c>
      <c r="R99" s="20">
        <v>2007</v>
      </c>
      <c r="S99" s="20">
        <v>2008</v>
      </c>
      <c r="T99" s="20">
        <v>2009</v>
      </c>
      <c r="U99" s="20">
        <v>2010</v>
      </c>
      <c r="V99" s="20">
        <v>2011</v>
      </c>
      <c r="W99" s="20">
        <v>2012</v>
      </c>
      <c r="X99" s="20">
        <v>2013</v>
      </c>
      <c r="Y99" s="21">
        <v>2014</v>
      </c>
      <c r="Z99" s="21">
        <v>2015</v>
      </c>
      <c r="AA99" s="21">
        <v>2016</v>
      </c>
      <c r="AB99" s="3">
        <v>2017</v>
      </c>
      <c r="AC99" s="3">
        <v>2018</v>
      </c>
      <c r="AD99" s="3">
        <v>2019</v>
      </c>
      <c r="AE99" s="3">
        <v>2020</v>
      </c>
      <c r="AF99" s="3">
        <v>2021</v>
      </c>
      <c r="AG99" s="3">
        <v>2022</v>
      </c>
      <c r="AH99" s="3">
        <v>2023</v>
      </c>
    </row>
    <row r="100" spans="1:34" x14ac:dyDescent="0.25">
      <c r="A100" s="85" t="s">
        <v>1</v>
      </c>
      <c r="B100" s="86">
        <v>4415</v>
      </c>
      <c r="C100" s="4">
        <v>5086</v>
      </c>
      <c r="D100" s="4">
        <v>6707</v>
      </c>
      <c r="E100" s="4">
        <v>7866</v>
      </c>
      <c r="F100" s="4">
        <v>9460</v>
      </c>
      <c r="G100" s="4">
        <v>12070</v>
      </c>
      <c r="H100" s="4">
        <v>13042</v>
      </c>
      <c r="I100" s="4">
        <v>13632</v>
      </c>
      <c r="J100" s="4">
        <f>198+14248</f>
        <v>14446</v>
      </c>
      <c r="K100" s="4">
        <f>13025+517</f>
        <v>13542</v>
      </c>
      <c r="L100" s="4">
        <v>14225</v>
      </c>
      <c r="M100" s="4">
        <f>14278+306</f>
        <v>14584</v>
      </c>
      <c r="N100" s="4">
        <f>17213+270</f>
        <v>17483</v>
      </c>
      <c r="O100" s="4">
        <v>19312</v>
      </c>
      <c r="P100" s="87">
        <v>22940</v>
      </c>
      <c r="Q100" s="87">
        <v>24043</v>
      </c>
      <c r="R100" s="4">
        <v>29751</v>
      </c>
      <c r="S100" s="4">
        <v>38091</v>
      </c>
      <c r="T100" s="4">
        <v>37990</v>
      </c>
      <c r="U100" s="4">
        <v>41073</v>
      </c>
      <c r="V100" s="4">
        <v>43985</v>
      </c>
      <c r="W100" s="4">
        <v>54170</v>
      </c>
      <c r="X100" s="4">
        <v>57070</v>
      </c>
      <c r="Y100" s="46">
        <v>58623</v>
      </c>
      <c r="Z100" s="46">
        <v>56455</v>
      </c>
      <c r="AA100" s="46">
        <v>61092</v>
      </c>
      <c r="AB100" s="46">
        <v>65232</v>
      </c>
      <c r="AC100" s="46">
        <v>68450</v>
      </c>
      <c r="AD100" s="46">
        <v>75843</v>
      </c>
      <c r="AE100" s="46">
        <v>81212</v>
      </c>
      <c r="AF100" s="46">
        <v>29409</v>
      </c>
      <c r="AG100" s="46">
        <v>62677</v>
      </c>
      <c r="AH100" s="46">
        <v>79326</v>
      </c>
    </row>
    <row r="101" spans="1:34" x14ac:dyDescent="0.25">
      <c r="A101" s="85" t="s">
        <v>2</v>
      </c>
      <c r="B101" s="86">
        <v>3479</v>
      </c>
      <c r="C101" s="4">
        <v>4254</v>
      </c>
      <c r="D101" s="4">
        <v>5191</v>
      </c>
      <c r="E101" s="4">
        <v>6123</v>
      </c>
      <c r="F101" s="4">
        <v>8181</v>
      </c>
      <c r="G101" s="4">
        <v>10377</v>
      </c>
      <c r="H101" s="4">
        <v>11432</v>
      </c>
      <c r="I101" s="4">
        <v>12451</v>
      </c>
      <c r="J101" s="4">
        <v>12530</v>
      </c>
      <c r="K101" s="4">
        <f>12391+281</f>
        <v>12672</v>
      </c>
      <c r="L101" s="4">
        <v>12664</v>
      </c>
      <c r="M101" s="4">
        <v>13221</v>
      </c>
      <c r="N101" s="4">
        <f>14084+208</f>
        <v>14292</v>
      </c>
      <c r="O101" s="4">
        <v>17113</v>
      </c>
      <c r="P101" s="87">
        <v>20978</v>
      </c>
      <c r="Q101" s="87">
        <v>25489</v>
      </c>
      <c r="R101" s="4">
        <v>25607</v>
      </c>
      <c r="S101" s="4">
        <v>32124</v>
      </c>
      <c r="T101" s="4">
        <v>32341</v>
      </c>
      <c r="U101" s="4">
        <v>35429</v>
      </c>
      <c r="V101" s="4">
        <v>36003</v>
      </c>
      <c r="W101" s="4">
        <v>44490</v>
      </c>
      <c r="X101" s="4">
        <v>48513</v>
      </c>
      <c r="Y101" s="46">
        <v>51259</v>
      </c>
      <c r="Z101" s="46">
        <v>49322</v>
      </c>
      <c r="AA101" s="46">
        <v>45822</v>
      </c>
      <c r="AB101" s="46">
        <v>54098</v>
      </c>
      <c r="AC101" s="46">
        <v>60592</v>
      </c>
      <c r="AD101" s="46">
        <v>65916</v>
      </c>
      <c r="AE101" s="46">
        <v>75556</v>
      </c>
      <c r="AF101" s="46">
        <v>31084</v>
      </c>
      <c r="AG101" s="46">
        <v>55531</v>
      </c>
      <c r="AH101" s="46">
        <v>72546</v>
      </c>
    </row>
    <row r="102" spans="1:34" x14ac:dyDescent="0.25">
      <c r="A102" s="85" t="s">
        <v>3</v>
      </c>
      <c r="B102" s="86">
        <v>4933</v>
      </c>
      <c r="C102" s="4">
        <v>4238</v>
      </c>
      <c r="D102" s="4">
        <v>5240</v>
      </c>
      <c r="E102" s="4">
        <v>6764</v>
      </c>
      <c r="F102" s="4">
        <v>9564</v>
      </c>
      <c r="G102" s="4">
        <v>11531</v>
      </c>
      <c r="H102" s="4">
        <v>14222</v>
      </c>
      <c r="I102" s="4">
        <v>14616</v>
      </c>
      <c r="J102" s="4">
        <v>14318</v>
      </c>
      <c r="K102" s="4">
        <f>13655+546</f>
        <v>14201</v>
      </c>
      <c r="L102" s="4">
        <v>12901</v>
      </c>
      <c r="M102" s="4">
        <f>13850+203</f>
        <v>14053</v>
      </c>
      <c r="N102" s="4">
        <v>14924</v>
      </c>
      <c r="O102" s="4">
        <v>17002</v>
      </c>
      <c r="P102" s="87">
        <v>21479</v>
      </c>
      <c r="Q102" s="87">
        <v>21291</v>
      </c>
      <c r="R102" s="4">
        <v>33424</v>
      </c>
      <c r="S102" s="4">
        <v>43276</v>
      </c>
      <c r="T102" s="4">
        <v>35776</v>
      </c>
      <c r="U102" s="4">
        <v>38658</v>
      </c>
      <c r="V102" s="4">
        <v>38129</v>
      </c>
      <c r="W102" s="4">
        <v>47828</v>
      </c>
      <c r="X102" s="4">
        <v>51937</v>
      </c>
      <c r="Y102" s="46">
        <v>53172</v>
      </c>
      <c r="Z102" s="46">
        <v>57018</v>
      </c>
      <c r="AA102" s="46">
        <v>51465</v>
      </c>
      <c r="AB102" s="46">
        <v>58484</v>
      </c>
      <c r="AC102" s="46">
        <v>66186</v>
      </c>
      <c r="AD102" s="46">
        <v>72669</v>
      </c>
      <c r="AE102" s="46">
        <v>46336</v>
      </c>
      <c r="AF102" s="46">
        <v>38946</v>
      </c>
      <c r="AG102" s="46">
        <v>60268</v>
      </c>
      <c r="AH102" s="46">
        <v>56791</v>
      </c>
    </row>
    <row r="103" spans="1:34" x14ac:dyDescent="0.25">
      <c r="A103" s="85" t="s">
        <v>16</v>
      </c>
      <c r="B103" s="86">
        <v>3947</v>
      </c>
      <c r="C103" s="4">
        <v>5334</v>
      </c>
      <c r="D103" s="4">
        <v>5914</v>
      </c>
      <c r="E103" s="4">
        <v>6838</v>
      </c>
      <c r="F103" s="4">
        <v>10145</v>
      </c>
      <c r="G103" s="4">
        <v>11646</v>
      </c>
      <c r="H103" s="4">
        <v>14072</v>
      </c>
      <c r="I103" s="4">
        <v>13171</v>
      </c>
      <c r="J103" s="4">
        <v>13685</v>
      </c>
      <c r="K103" s="4">
        <f>13124+482</f>
        <v>13606</v>
      </c>
      <c r="L103" s="4">
        <f>13459+548</f>
        <v>14007</v>
      </c>
      <c r="M103" s="4">
        <f>13707+425</f>
        <v>14132</v>
      </c>
      <c r="N103" s="4">
        <v>14740</v>
      </c>
      <c r="O103" s="4">
        <v>18151</v>
      </c>
      <c r="P103" s="87">
        <v>21424</v>
      </c>
      <c r="Q103" s="87">
        <v>22999</v>
      </c>
      <c r="R103" s="4">
        <v>29271</v>
      </c>
      <c r="S103" s="4">
        <v>33367</v>
      </c>
      <c r="T103" s="4">
        <v>35276</v>
      </c>
      <c r="U103" s="4">
        <v>36416</v>
      </c>
      <c r="V103" s="4">
        <v>40929</v>
      </c>
      <c r="W103" s="4">
        <v>49412</v>
      </c>
      <c r="X103" s="4">
        <v>51098</v>
      </c>
      <c r="Y103" s="46">
        <v>51547</v>
      </c>
      <c r="Z103" s="46">
        <v>52106</v>
      </c>
      <c r="AA103" s="46">
        <v>53744</v>
      </c>
      <c r="AB103" s="46">
        <v>59912</v>
      </c>
      <c r="AC103" s="46">
        <v>65772</v>
      </c>
      <c r="AD103" s="46">
        <v>70208</v>
      </c>
      <c r="AE103" s="46">
        <v>968</v>
      </c>
      <c r="AF103" s="46">
        <v>45622</v>
      </c>
      <c r="AG103" s="46">
        <v>65892</v>
      </c>
      <c r="AH103" s="46">
        <v>64367</v>
      </c>
    </row>
    <row r="104" spans="1:34" x14ac:dyDescent="0.25">
      <c r="A104" s="85" t="s">
        <v>17</v>
      </c>
      <c r="B104" s="86">
        <v>5151</v>
      </c>
      <c r="C104" s="4">
        <v>5425</v>
      </c>
      <c r="D104" s="4">
        <v>5625</v>
      </c>
      <c r="E104" s="4">
        <v>6832</v>
      </c>
      <c r="F104" s="4">
        <v>9551</v>
      </c>
      <c r="G104" s="4">
        <v>10309</v>
      </c>
      <c r="H104" s="4">
        <v>13173</v>
      </c>
      <c r="I104" s="4">
        <v>14650</v>
      </c>
      <c r="J104" s="4">
        <v>13621</v>
      </c>
      <c r="K104" s="4">
        <f>13777+305</f>
        <v>14082</v>
      </c>
      <c r="L104" s="4">
        <f>13201+877</f>
        <v>14078</v>
      </c>
      <c r="M104" s="4">
        <v>14506</v>
      </c>
      <c r="N104" s="4">
        <v>15358</v>
      </c>
      <c r="O104" s="4">
        <v>18492</v>
      </c>
      <c r="P104" s="87">
        <v>22147</v>
      </c>
      <c r="Q104" s="87">
        <v>24513</v>
      </c>
      <c r="R104" s="4">
        <v>29789</v>
      </c>
      <c r="S104" s="4">
        <v>36612</v>
      </c>
      <c r="T104" s="4">
        <v>35876</v>
      </c>
      <c r="U104" s="4">
        <v>39795</v>
      </c>
      <c r="V104" s="4">
        <v>40793</v>
      </c>
      <c r="W104" s="4">
        <v>44936</v>
      </c>
      <c r="X104" s="4">
        <v>53556</v>
      </c>
      <c r="Y104" s="46">
        <v>53293</v>
      </c>
      <c r="Z104" s="46">
        <v>54079</v>
      </c>
      <c r="AA104" s="46">
        <v>54629</v>
      </c>
      <c r="AB104" s="46">
        <v>59459</v>
      </c>
      <c r="AC104" s="46">
        <v>65679</v>
      </c>
      <c r="AD104" s="46">
        <v>72561</v>
      </c>
      <c r="AE104" s="46">
        <v>970</v>
      </c>
      <c r="AF104" s="46">
        <v>36295</v>
      </c>
      <c r="AG104" s="46">
        <v>66195</v>
      </c>
      <c r="AH104" s="46">
        <v>76011</v>
      </c>
    </row>
    <row r="105" spans="1:34" x14ac:dyDescent="0.25">
      <c r="A105" s="85" t="s">
        <v>18</v>
      </c>
      <c r="B105" s="86">
        <v>3820</v>
      </c>
      <c r="C105" s="4">
        <v>4786</v>
      </c>
      <c r="D105" s="4">
        <v>5755</v>
      </c>
      <c r="E105" s="4">
        <v>7226</v>
      </c>
      <c r="F105" s="4">
        <v>9207</v>
      </c>
      <c r="G105" s="4">
        <v>11996</v>
      </c>
      <c r="H105" s="4">
        <v>12679</v>
      </c>
      <c r="I105" s="4">
        <v>12966</v>
      </c>
      <c r="J105" s="4">
        <v>13529</v>
      </c>
      <c r="K105" s="4">
        <f>13809+471</f>
        <v>14280</v>
      </c>
      <c r="L105" s="4">
        <v>14082</v>
      </c>
      <c r="M105" s="4">
        <f>13537+265</f>
        <v>13802</v>
      </c>
      <c r="N105" s="4">
        <f>20771+803</f>
        <v>21574</v>
      </c>
      <c r="O105" s="4">
        <v>18785</v>
      </c>
      <c r="P105" s="87">
        <v>21082</v>
      </c>
      <c r="Q105" s="87">
        <v>25059</v>
      </c>
      <c r="R105" s="4">
        <v>31094</v>
      </c>
      <c r="S105" s="4">
        <v>38701</v>
      </c>
      <c r="T105" s="4">
        <v>35764</v>
      </c>
      <c r="U105" s="4">
        <v>39705</v>
      </c>
      <c r="V105" s="4">
        <v>43420</v>
      </c>
      <c r="W105" s="4">
        <v>49519</v>
      </c>
      <c r="X105" s="4">
        <v>56117</v>
      </c>
      <c r="Y105" s="46">
        <v>56850</v>
      </c>
      <c r="Z105" s="46">
        <v>57297</v>
      </c>
      <c r="AA105" s="46">
        <v>56383</v>
      </c>
      <c r="AB105" s="46">
        <v>59470</v>
      </c>
      <c r="AC105" s="46">
        <v>67918</v>
      </c>
      <c r="AD105" s="46">
        <v>73817</v>
      </c>
      <c r="AE105" s="46">
        <v>1566</v>
      </c>
      <c r="AF105" s="46">
        <v>40137</v>
      </c>
      <c r="AG105" s="46">
        <v>70803</v>
      </c>
      <c r="AH105" s="46">
        <v>80165</v>
      </c>
    </row>
    <row r="106" spans="1:34" x14ac:dyDescent="0.25">
      <c r="A106" s="85" t="s">
        <v>19</v>
      </c>
      <c r="B106" s="86">
        <v>6628</v>
      </c>
      <c r="C106" s="4">
        <v>5954</v>
      </c>
      <c r="D106" s="4">
        <v>6391</v>
      </c>
      <c r="E106" s="4">
        <v>8774</v>
      </c>
      <c r="F106" s="4">
        <v>11386</v>
      </c>
      <c r="G106" s="4">
        <v>12779</v>
      </c>
      <c r="H106" s="4">
        <v>14938</v>
      </c>
      <c r="I106" s="4">
        <v>15297</v>
      </c>
      <c r="J106" s="4">
        <f>15007+507</f>
        <v>15514</v>
      </c>
      <c r="K106" s="4">
        <f>15713+383</f>
        <v>16096</v>
      </c>
      <c r="L106" s="4">
        <f>15537+580</f>
        <v>16117</v>
      </c>
      <c r="M106" s="4">
        <v>18157</v>
      </c>
      <c r="N106" s="4">
        <f>17827+1433</f>
        <v>19260</v>
      </c>
      <c r="O106" s="87">
        <v>20930</v>
      </c>
      <c r="P106" s="4">
        <v>24531</v>
      </c>
      <c r="Q106" s="88">
        <v>29015</v>
      </c>
      <c r="R106" s="4">
        <v>35876</v>
      </c>
      <c r="S106" s="4">
        <v>41565</v>
      </c>
      <c r="T106" s="4">
        <v>42366</v>
      </c>
      <c r="U106" s="4">
        <v>48425</v>
      </c>
      <c r="V106" s="4">
        <v>51359</v>
      </c>
      <c r="W106" s="4">
        <v>55106</v>
      </c>
      <c r="X106" s="4">
        <v>58769</v>
      </c>
      <c r="Y106" s="46">
        <v>56219</v>
      </c>
      <c r="Z106" s="46">
        <v>60597</v>
      </c>
      <c r="AA106" s="36">
        <v>65214</v>
      </c>
      <c r="AB106" s="46">
        <v>69356</v>
      </c>
      <c r="AC106" s="46">
        <v>76627</v>
      </c>
      <c r="AD106" s="46">
        <v>82732</v>
      </c>
      <c r="AE106" s="46">
        <v>3071</v>
      </c>
      <c r="AF106" s="46">
        <v>29137</v>
      </c>
      <c r="AG106" s="46">
        <v>74597</v>
      </c>
      <c r="AH106" s="46">
        <v>91526</v>
      </c>
    </row>
    <row r="107" spans="1:34" x14ac:dyDescent="0.25">
      <c r="A107" s="85" t="s">
        <v>20</v>
      </c>
      <c r="B107" s="86">
        <v>5688</v>
      </c>
      <c r="C107" s="4">
        <v>6309</v>
      </c>
      <c r="D107" s="4">
        <v>7496</v>
      </c>
      <c r="E107" s="4">
        <v>9513</v>
      </c>
      <c r="F107" s="4">
        <v>12667</v>
      </c>
      <c r="G107" s="4">
        <v>14782</v>
      </c>
      <c r="H107" s="4">
        <v>15938</v>
      </c>
      <c r="I107" s="4">
        <v>16011</v>
      </c>
      <c r="J107" s="4">
        <f>15358+559</f>
        <v>15917</v>
      </c>
      <c r="K107" s="4">
        <f>15608+384</f>
        <v>15992</v>
      </c>
      <c r="L107" s="4">
        <f>18310+700</f>
        <v>19010</v>
      </c>
      <c r="M107" s="4">
        <v>17947</v>
      </c>
      <c r="N107" s="4">
        <f>19534+478</f>
        <v>20012</v>
      </c>
      <c r="O107" s="87">
        <v>25682</v>
      </c>
      <c r="P107" s="4">
        <v>28791</v>
      </c>
      <c r="Q107" s="4">
        <v>32476</v>
      </c>
      <c r="R107" s="4">
        <v>38214</v>
      </c>
      <c r="S107" s="4">
        <v>44101</v>
      </c>
      <c r="T107" s="4">
        <v>45596</v>
      </c>
      <c r="U107" s="4">
        <v>51441</v>
      </c>
      <c r="V107" s="4">
        <v>49767</v>
      </c>
      <c r="W107" s="4">
        <v>55148</v>
      </c>
      <c r="X107" s="4">
        <v>60847</v>
      </c>
      <c r="Y107" s="46">
        <v>63154</v>
      </c>
      <c r="Z107" s="46">
        <v>66950</v>
      </c>
      <c r="AA107" s="46">
        <v>70781</v>
      </c>
      <c r="AB107" s="46">
        <v>72853</v>
      </c>
      <c r="AC107" s="46">
        <v>79934</v>
      </c>
      <c r="AD107" s="46">
        <v>84466</v>
      </c>
      <c r="AE107" s="46">
        <v>3676</v>
      </c>
      <c r="AF107" s="46">
        <v>37419</v>
      </c>
      <c r="AG107" s="46">
        <v>81235</v>
      </c>
      <c r="AH107" s="46"/>
    </row>
    <row r="108" spans="1:34" x14ac:dyDescent="0.25">
      <c r="A108" s="85" t="s">
        <v>9</v>
      </c>
      <c r="B108" s="86">
        <v>5016</v>
      </c>
      <c r="C108" s="4">
        <v>5975</v>
      </c>
      <c r="D108" s="4">
        <v>7346</v>
      </c>
      <c r="E108" s="4">
        <v>9274</v>
      </c>
      <c r="F108" s="4">
        <v>11740</v>
      </c>
      <c r="G108" s="4">
        <v>14002</v>
      </c>
      <c r="H108" s="4">
        <v>14100</v>
      </c>
      <c r="I108" s="4">
        <v>13762</v>
      </c>
      <c r="J108" s="4">
        <f>15381+470</f>
        <v>15851</v>
      </c>
      <c r="K108" s="4">
        <f>15700+424</f>
        <v>16124</v>
      </c>
      <c r="L108" s="4">
        <v>16136</v>
      </c>
      <c r="M108" s="4">
        <v>16680</v>
      </c>
      <c r="N108" s="4">
        <f>17812+437</f>
        <v>18249</v>
      </c>
      <c r="O108" s="87">
        <v>21658</v>
      </c>
      <c r="P108" s="4">
        <v>25521</v>
      </c>
      <c r="Q108" s="4">
        <v>32223</v>
      </c>
      <c r="R108" s="4">
        <v>37978</v>
      </c>
      <c r="S108" s="4">
        <v>41133</v>
      </c>
      <c r="T108" s="4">
        <v>38903</v>
      </c>
      <c r="U108" s="4">
        <v>41127</v>
      </c>
      <c r="V108" s="4">
        <v>45566</v>
      </c>
      <c r="W108" s="4">
        <v>53937</v>
      </c>
      <c r="X108" s="4">
        <v>58359</v>
      </c>
      <c r="Y108" s="46">
        <v>54403</v>
      </c>
      <c r="Z108" s="46">
        <v>59633</v>
      </c>
      <c r="AA108" s="46">
        <v>62605</v>
      </c>
      <c r="AB108" s="137">
        <v>66649</v>
      </c>
      <c r="AC108" s="46">
        <v>78360</v>
      </c>
      <c r="AD108" s="46">
        <v>83342</v>
      </c>
      <c r="AE108" s="46">
        <v>4817</v>
      </c>
      <c r="AF108" s="46">
        <v>42221</v>
      </c>
      <c r="AG108" s="46">
        <v>80112</v>
      </c>
      <c r="AH108" s="46"/>
    </row>
    <row r="109" spans="1:34" x14ac:dyDescent="0.25">
      <c r="A109" s="85" t="s">
        <v>10</v>
      </c>
      <c r="B109" s="86">
        <v>4777</v>
      </c>
      <c r="C109" s="4">
        <v>5128</v>
      </c>
      <c r="D109" s="4">
        <v>5963</v>
      </c>
      <c r="E109" s="4">
        <v>8416</v>
      </c>
      <c r="F109" s="4">
        <v>10642</v>
      </c>
      <c r="G109" s="4">
        <v>12032</v>
      </c>
      <c r="H109" s="4">
        <v>13592</v>
      </c>
      <c r="I109" s="4">
        <v>13622</v>
      </c>
      <c r="J109" s="4">
        <f>14236+375</f>
        <v>14611</v>
      </c>
      <c r="K109" s="4">
        <f>13468+369</f>
        <v>13837</v>
      </c>
      <c r="L109" s="4">
        <f>12548+361</f>
        <v>12909</v>
      </c>
      <c r="M109" s="4">
        <v>14401</v>
      </c>
      <c r="N109" s="4">
        <v>17457</v>
      </c>
      <c r="O109" s="87">
        <v>20696</v>
      </c>
      <c r="P109" s="4">
        <v>23481</v>
      </c>
      <c r="Q109" s="4">
        <v>27313</v>
      </c>
      <c r="R109" s="4">
        <v>33797</v>
      </c>
      <c r="S109" s="4">
        <v>38909</v>
      </c>
      <c r="T109" s="4">
        <v>42375</v>
      </c>
      <c r="U109" s="4">
        <v>45236</v>
      </c>
      <c r="V109" s="4">
        <v>49155</v>
      </c>
      <c r="W109" s="4">
        <v>54116</v>
      </c>
      <c r="X109" s="4">
        <v>55605</v>
      </c>
      <c r="Y109" s="46">
        <v>54104</v>
      </c>
      <c r="Z109" s="46">
        <v>56089</v>
      </c>
      <c r="AA109" s="46">
        <v>58973</v>
      </c>
      <c r="AB109" s="46">
        <v>60609</v>
      </c>
      <c r="AC109" s="46">
        <v>72090</v>
      </c>
      <c r="AD109" s="46">
        <v>76440</v>
      </c>
      <c r="AE109" s="46">
        <v>15461</v>
      </c>
      <c r="AF109" s="46">
        <v>54205</v>
      </c>
      <c r="AG109" s="46">
        <v>71905</v>
      </c>
      <c r="AH109" s="46"/>
    </row>
    <row r="110" spans="1:34" x14ac:dyDescent="0.25">
      <c r="A110" s="85" t="s">
        <v>11</v>
      </c>
      <c r="B110" s="86">
        <v>4368</v>
      </c>
      <c r="C110" s="4">
        <v>5188</v>
      </c>
      <c r="D110" s="4">
        <v>6193</v>
      </c>
      <c r="E110" s="4">
        <v>8457</v>
      </c>
      <c r="F110" s="4">
        <v>10312</v>
      </c>
      <c r="G110" s="4">
        <v>12063</v>
      </c>
      <c r="H110" s="4">
        <v>13041</v>
      </c>
      <c r="I110" s="4">
        <v>13020</v>
      </c>
      <c r="J110" s="4">
        <f>13264+301</f>
        <v>13565</v>
      </c>
      <c r="K110" s="4">
        <v>13102</v>
      </c>
      <c r="L110" s="4">
        <f>12763+226</f>
        <v>12989</v>
      </c>
      <c r="M110" s="4">
        <v>14832</v>
      </c>
      <c r="N110" s="4">
        <v>16557</v>
      </c>
      <c r="O110" s="87">
        <v>19285</v>
      </c>
      <c r="P110" s="4">
        <v>21499</v>
      </c>
      <c r="Q110" s="4">
        <v>28285</v>
      </c>
      <c r="R110" s="4">
        <v>32339</v>
      </c>
      <c r="S110" s="4">
        <v>38517</v>
      </c>
      <c r="T110" s="4">
        <v>38370</v>
      </c>
      <c r="U110" s="4">
        <v>43455</v>
      </c>
      <c r="V110" s="4">
        <v>45573</v>
      </c>
      <c r="W110" s="4">
        <v>50648</v>
      </c>
      <c r="X110" s="4">
        <v>55869</v>
      </c>
      <c r="Y110" s="46">
        <v>57209</v>
      </c>
      <c r="Z110" s="46">
        <v>59929</v>
      </c>
      <c r="AA110" s="46">
        <v>58208</v>
      </c>
      <c r="AB110" s="46">
        <v>60240</v>
      </c>
      <c r="AC110" s="46">
        <v>69837</v>
      </c>
      <c r="AD110" s="46">
        <v>77502</v>
      </c>
      <c r="AE110" s="46">
        <v>21515</v>
      </c>
      <c r="AF110" s="46">
        <v>61751</v>
      </c>
      <c r="AG110" s="46">
        <v>62130</v>
      </c>
      <c r="AH110" s="46"/>
    </row>
    <row r="111" spans="1:34" x14ac:dyDescent="0.25">
      <c r="A111" s="85" t="s">
        <v>12</v>
      </c>
      <c r="B111" s="86">
        <v>5143</v>
      </c>
      <c r="C111" s="4">
        <v>6236</v>
      </c>
      <c r="D111" s="4">
        <v>7032</v>
      </c>
      <c r="E111" s="4">
        <v>9570</v>
      </c>
      <c r="F111" s="4">
        <v>14017</v>
      </c>
      <c r="G111" s="4">
        <v>15315</v>
      </c>
      <c r="H111" s="4">
        <v>15158</v>
      </c>
      <c r="I111" s="4">
        <v>15524</v>
      </c>
      <c r="J111" s="4">
        <f>15227+488</f>
        <v>15715</v>
      </c>
      <c r="K111" s="4">
        <v>14656</v>
      </c>
      <c r="L111" s="4">
        <v>14195</v>
      </c>
      <c r="M111" s="4">
        <f>15473+215</f>
        <v>15688</v>
      </c>
      <c r="N111" s="89">
        <f>17036+904</f>
        <v>17940</v>
      </c>
      <c r="O111" s="91">
        <v>20751</v>
      </c>
      <c r="P111" s="90">
        <v>23673</v>
      </c>
      <c r="Q111" s="90">
        <v>29246</v>
      </c>
      <c r="R111" s="4">
        <v>31918</v>
      </c>
      <c r="S111" s="4">
        <v>39391</v>
      </c>
      <c r="T111" s="4">
        <v>39520</v>
      </c>
      <c r="U111" s="4">
        <v>43886</v>
      </c>
      <c r="V111" s="4">
        <v>49026</v>
      </c>
      <c r="W111" s="4">
        <v>52717</v>
      </c>
      <c r="X111" s="4">
        <v>58478</v>
      </c>
      <c r="Y111" s="46">
        <v>56713</v>
      </c>
      <c r="Z111" s="46">
        <v>61517</v>
      </c>
      <c r="AA111" s="46">
        <v>64733</v>
      </c>
      <c r="AB111" s="46">
        <v>70998</v>
      </c>
      <c r="AC111" s="46">
        <v>77589</v>
      </c>
      <c r="AD111" s="46">
        <v>88769</v>
      </c>
      <c r="AE111" s="46">
        <v>30449</v>
      </c>
      <c r="AF111" s="46">
        <v>60579</v>
      </c>
      <c r="AG111" s="46">
        <v>76260</v>
      </c>
      <c r="AH111" s="46"/>
    </row>
    <row r="112" spans="1:34" ht="15.75" thickBot="1" x14ac:dyDescent="0.3">
      <c r="A112" s="95" t="s">
        <v>13</v>
      </c>
      <c r="B112" s="96">
        <f t="shared" ref="B112:Q112" si="17">SUM(B100:B111)</f>
        <v>57365</v>
      </c>
      <c r="C112" s="18">
        <f t="shared" si="17"/>
        <v>63913</v>
      </c>
      <c r="D112" s="18">
        <f t="shared" si="17"/>
        <v>74853</v>
      </c>
      <c r="E112" s="18">
        <f t="shared" si="17"/>
        <v>95653</v>
      </c>
      <c r="F112" s="18">
        <f>SUM(F100:F111)</f>
        <v>126872</v>
      </c>
      <c r="G112" s="18">
        <f t="shared" si="17"/>
        <v>148902</v>
      </c>
      <c r="H112" s="18">
        <f t="shared" si="17"/>
        <v>165387</v>
      </c>
      <c r="I112" s="18">
        <f t="shared" si="17"/>
        <v>168722</v>
      </c>
      <c r="J112" s="18">
        <f t="shared" si="17"/>
        <v>173302</v>
      </c>
      <c r="K112" s="18">
        <f t="shared" si="17"/>
        <v>172190</v>
      </c>
      <c r="L112" s="18">
        <f t="shared" si="17"/>
        <v>173313</v>
      </c>
      <c r="M112" s="18">
        <f t="shared" si="17"/>
        <v>182003</v>
      </c>
      <c r="N112" s="18">
        <f t="shared" si="17"/>
        <v>207846</v>
      </c>
      <c r="O112" s="18">
        <f t="shared" si="17"/>
        <v>237857</v>
      </c>
      <c r="P112" s="18">
        <f t="shared" si="17"/>
        <v>277546</v>
      </c>
      <c r="Q112" s="18">
        <f t="shared" si="17"/>
        <v>321952</v>
      </c>
      <c r="R112" s="18">
        <f t="shared" ref="R112:X112" si="18">SUM(R100:R111)</f>
        <v>389058</v>
      </c>
      <c r="S112" s="18">
        <f t="shared" si="18"/>
        <v>465787</v>
      </c>
      <c r="T112" s="18">
        <f t="shared" si="18"/>
        <v>460153</v>
      </c>
      <c r="U112" s="18">
        <f t="shared" si="18"/>
        <v>504646</v>
      </c>
      <c r="V112" s="18">
        <f t="shared" si="18"/>
        <v>533705</v>
      </c>
      <c r="W112" s="18">
        <f t="shared" si="18"/>
        <v>612027</v>
      </c>
      <c r="X112" s="18">
        <f t="shared" si="18"/>
        <v>666218</v>
      </c>
      <c r="Y112" s="55">
        <f t="shared" ref="Y112:AH112" si="19">SUM(Y100:Y111)</f>
        <v>666546</v>
      </c>
      <c r="Z112" s="55">
        <f t="shared" si="19"/>
        <v>690992</v>
      </c>
      <c r="AA112" s="55">
        <f t="shared" si="19"/>
        <v>703649</v>
      </c>
      <c r="AB112" s="55">
        <f t="shared" si="19"/>
        <v>757360</v>
      </c>
      <c r="AC112" s="55">
        <f t="shared" si="19"/>
        <v>849034</v>
      </c>
      <c r="AD112" s="55">
        <f t="shared" si="19"/>
        <v>924265</v>
      </c>
      <c r="AE112" s="55">
        <f t="shared" si="19"/>
        <v>285597</v>
      </c>
      <c r="AF112" s="55">
        <f t="shared" si="19"/>
        <v>506805</v>
      </c>
      <c r="AG112" s="55">
        <f t="shared" si="19"/>
        <v>827605</v>
      </c>
      <c r="AH112" s="55">
        <f t="shared" si="19"/>
        <v>520732</v>
      </c>
    </row>
    <row r="113" spans="1:34" ht="15.75" thickTop="1" x14ac:dyDescent="0.25">
      <c r="A113" s="24"/>
      <c r="B113" s="99"/>
    </row>
    <row r="114" spans="1:34" x14ac:dyDescent="0.25">
      <c r="B114" s="99"/>
    </row>
    <row r="115" spans="1:34" ht="15.75" thickBot="1" x14ac:dyDescent="0.3">
      <c r="B115" s="99"/>
      <c r="Q115" s="100"/>
      <c r="R115" s="100"/>
    </row>
    <row r="116" spans="1:34" ht="16.5" thickTop="1" thickBot="1" x14ac:dyDescent="0.3">
      <c r="A116" s="172" t="s">
        <v>0</v>
      </c>
      <c r="B116" s="174" t="s">
        <v>29</v>
      </c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</row>
    <row r="117" spans="1:34" ht="15.75" thickTop="1" x14ac:dyDescent="0.25">
      <c r="A117" s="173"/>
      <c r="B117" s="101">
        <v>1991</v>
      </c>
      <c r="C117" s="20">
        <v>1992</v>
      </c>
      <c r="D117" s="20">
        <v>1993</v>
      </c>
      <c r="E117" s="20">
        <v>1994</v>
      </c>
      <c r="F117" s="20">
        <v>1995</v>
      </c>
      <c r="G117" s="20">
        <v>1996</v>
      </c>
      <c r="H117" s="20">
        <v>1997</v>
      </c>
      <c r="I117" s="20">
        <v>1998</v>
      </c>
      <c r="J117" s="20">
        <v>1999</v>
      </c>
      <c r="K117" s="20">
        <v>2000</v>
      </c>
      <c r="L117" s="20">
        <v>2001</v>
      </c>
      <c r="M117" s="20">
        <v>2002</v>
      </c>
      <c r="N117" s="20">
        <v>2003</v>
      </c>
      <c r="O117" s="20">
        <v>2004</v>
      </c>
      <c r="P117" s="20">
        <v>2005</v>
      </c>
      <c r="Q117" s="20">
        <v>2006</v>
      </c>
      <c r="R117" s="20">
        <v>2007</v>
      </c>
      <c r="S117" s="20">
        <v>2008</v>
      </c>
      <c r="T117" s="20">
        <v>2009</v>
      </c>
      <c r="U117" s="20">
        <v>2010</v>
      </c>
      <c r="V117" s="20">
        <v>2011</v>
      </c>
      <c r="W117" s="20">
        <v>2012</v>
      </c>
      <c r="X117" s="20">
        <v>2013</v>
      </c>
      <c r="Y117" s="21">
        <v>2014</v>
      </c>
      <c r="Z117" s="21">
        <v>2015</v>
      </c>
      <c r="AA117" s="21">
        <v>2016</v>
      </c>
      <c r="AB117" s="3">
        <v>2017</v>
      </c>
      <c r="AC117" s="3">
        <v>2018</v>
      </c>
      <c r="AD117" s="3">
        <v>2019</v>
      </c>
      <c r="AE117" s="3">
        <v>2020</v>
      </c>
      <c r="AF117" s="3">
        <v>2021</v>
      </c>
      <c r="AG117" s="3">
        <v>2022</v>
      </c>
      <c r="AH117" s="3">
        <v>2023</v>
      </c>
    </row>
    <row r="118" spans="1:34" x14ac:dyDescent="0.25">
      <c r="A118" s="85" t="s">
        <v>1</v>
      </c>
      <c r="B118" s="42">
        <f t="shared" ref="B118:AH118" si="20">B81+B100</f>
        <v>8780</v>
      </c>
      <c r="C118" s="42">
        <f t="shared" si="20"/>
        <v>11071</v>
      </c>
      <c r="D118" s="42">
        <f t="shared" si="20"/>
        <v>12590</v>
      </c>
      <c r="E118" s="42">
        <f t="shared" si="20"/>
        <v>14964</v>
      </c>
      <c r="F118" s="42">
        <f t="shared" si="20"/>
        <v>18990</v>
      </c>
      <c r="G118" s="42">
        <f t="shared" si="20"/>
        <v>24127</v>
      </c>
      <c r="H118" s="42">
        <f t="shared" si="20"/>
        <v>25422</v>
      </c>
      <c r="I118" s="42">
        <f t="shared" si="20"/>
        <v>27011</v>
      </c>
      <c r="J118" s="42">
        <f t="shared" si="20"/>
        <v>28831</v>
      </c>
      <c r="K118" s="42">
        <f t="shared" si="20"/>
        <v>27705</v>
      </c>
      <c r="L118" s="42">
        <f t="shared" si="20"/>
        <v>28772</v>
      </c>
      <c r="M118" s="42">
        <f t="shared" si="20"/>
        <v>29253</v>
      </c>
      <c r="N118" s="42">
        <f t="shared" si="20"/>
        <v>33041</v>
      </c>
      <c r="O118" s="42">
        <f t="shared" si="20"/>
        <v>36549</v>
      </c>
      <c r="P118" s="42">
        <f t="shared" si="20"/>
        <v>44815</v>
      </c>
      <c r="Q118" s="42">
        <f t="shared" si="20"/>
        <v>47040</v>
      </c>
      <c r="R118" s="42">
        <f t="shared" si="20"/>
        <v>58451</v>
      </c>
      <c r="S118" s="42">
        <f t="shared" si="20"/>
        <v>75199</v>
      </c>
      <c r="T118" s="42">
        <f t="shared" si="20"/>
        <v>74707</v>
      </c>
      <c r="U118" s="42">
        <f t="shared" si="20"/>
        <v>82086</v>
      </c>
      <c r="V118" s="42">
        <f t="shared" si="20"/>
        <v>86657</v>
      </c>
      <c r="W118" s="42">
        <f t="shared" si="20"/>
        <v>107929</v>
      </c>
      <c r="X118" s="42">
        <f t="shared" si="20"/>
        <v>113347</v>
      </c>
      <c r="Y118" s="37">
        <f t="shared" si="20"/>
        <v>114595</v>
      </c>
      <c r="Z118" s="37">
        <f t="shared" si="20"/>
        <v>112465</v>
      </c>
      <c r="AA118" s="37">
        <f t="shared" si="20"/>
        <v>115655</v>
      </c>
      <c r="AB118" s="37">
        <f t="shared" si="20"/>
        <v>125833</v>
      </c>
      <c r="AC118" s="37">
        <f t="shared" si="20"/>
        <v>135975</v>
      </c>
      <c r="AD118" s="37">
        <f t="shared" si="20"/>
        <v>147346</v>
      </c>
      <c r="AE118" s="37">
        <f t="shared" si="20"/>
        <v>158615</v>
      </c>
      <c r="AF118" s="37">
        <f t="shared" si="20"/>
        <v>53504</v>
      </c>
      <c r="AG118" s="37">
        <f t="shared" si="20"/>
        <v>110547</v>
      </c>
      <c r="AH118" s="37">
        <f t="shared" si="20"/>
        <v>154391</v>
      </c>
    </row>
    <row r="119" spans="1:34" x14ac:dyDescent="0.25">
      <c r="A119" s="85" t="s">
        <v>2</v>
      </c>
      <c r="B119" s="42">
        <f t="shared" ref="B119:AH119" si="21">B82+B101</f>
        <v>9127</v>
      </c>
      <c r="C119" s="42">
        <f t="shared" si="21"/>
        <v>10288</v>
      </c>
      <c r="D119" s="42">
        <f t="shared" si="21"/>
        <v>10061</v>
      </c>
      <c r="E119" s="42">
        <f t="shared" si="21"/>
        <v>12212</v>
      </c>
      <c r="F119" s="42">
        <f t="shared" si="21"/>
        <v>16588</v>
      </c>
      <c r="G119" s="42">
        <f t="shared" si="21"/>
        <v>21196</v>
      </c>
      <c r="H119" s="42">
        <f t="shared" si="21"/>
        <v>23047</v>
      </c>
      <c r="I119" s="42">
        <f t="shared" si="21"/>
        <v>25199</v>
      </c>
      <c r="J119" s="42">
        <f t="shared" si="21"/>
        <v>25353</v>
      </c>
      <c r="K119" s="42">
        <f t="shared" si="21"/>
        <v>25815</v>
      </c>
      <c r="L119" s="42">
        <f t="shared" si="21"/>
        <v>25373</v>
      </c>
      <c r="M119" s="42">
        <f t="shared" si="21"/>
        <v>26248</v>
      </c>
      <c r="N119" s="42">
        <f t="shared" si="21"/>
        <v>29079</v>
      </c>
      <c r="O119" s="42">
        <f t="shared" si="21"/>
        <v>34130</v>
      </c>
      <c r="P119" s="42">
        <f t="shared" si="21"/>
        <v>40978</v>
      </c>
      <c r="Q119" s="42">
        <f t="shared" si="21"/>
        <v>47508</v>
      </c>
      <c r="R119" s="42">
        <f t="shared" si="21"/>
        <v>51612</v>
      </c>
      <c r="S119" s="42">
        <f t="shared" si="21"/>
        <v>65615</v>
      </c>
      <c r="T119" s="42">
        <f t="shared" si="21"/>
        <v>65298</v>
      </c>
      <c r="U119" s="42">
        <f t="shared" si="21"/>
        <v>70932</v>
      </c>
      <c r="V119" s="42">
        <f t="shared" si="21"/>
        <v>69904</v>
      </c>
      <c r="W119" s="42">
        <f t="shared" si="21"/>
        <v>89415</v>
      </c>
      <c r="X119" s="42">
        <f t="shared" si="21"/>
        <v>97711</v>
      </c>
      <c r="Y119" s="37">
        <f t="shared" si="21"/>
        <v>101757</v>
      </c>
      <c r="Z119" s="37">
        <f t="shared" si="21"/>
        <v>99195</v>
      </c>
      <c r="AA119" s="37">
        <f t="shared" si="21"/>
        <v>89170</v>
      </c>
      <c r="AB119" s="37">
        <f t="shared" si="21"/>
        <v>107174</v>
      </c>
      <c r="AC119" s="37">
        <f t="shared" si="21"/>
        <v>120155</v>
      </c>
      <c r="AD119" s="37">
        <f t="shared" si="21"/>
        <v>128624</v>
      </c>
      <c r="AE119" s="37">
        <f t="shared" si="21"/>
        <v>144334</v>
      </c>
      <c r="AF119" s="37">
        <f t="shared" si="21"/>
        <v>57988</v>
      </c>
      <c r="AG119" s="37">
        <f t="shared" si="21"/>
        <v>101227</v>
      </c>
      <c r="AH119" s="37">
        <f t="shared" si="21"/>
        <v>138205</v>
      </c>
    </row>
    <row r="120" spans="1:34" x14ac:dyDescent="0.25">
      <c r="A120" s="85" t="s">
        <v>3</v>
      </c>
      <c r="B120" s="42">
        <f t="shared" ref="B120:AH120" si="22">B83+B102</f>
        <v>11456</v>
      </c>
      <c r="C120" s="42">
        <f t="shared" si="22"/>
        <v>8534</v>
      </c>
      <c r="D120" s="42">
        <f t="shared" si="22"/>
        <v>10344</v>
      </c>
      <c r="E120" s="42">
        <f t="shared" si="22"/>
        <v>13369</v>
      </c>
      <c r="F120" s="42">
        <f t="shared" si="22"/>
        <v>18625</v>
      </c>
      <c r="G120" s="42">
        <f t="shared" si="22"/>
        <v>22795</v>
      </c>
      <c r="H120" s="42">
        <f t="shared" si="22"/>
        <v>26906</v>
      </c>
      <c r="I120" s="42">
        <f t="shared" si="22"/>
        <v>28676</v>
      </c>
      <c r="J120" s="42">
        <f t="shared" si="22"/>
        <v>27644</v>
      </c>
      <c r="K120" s="42">
        <f t="shared" si="22"/>
        <v>27919</v>
      </c>
      <c r="L120" s="42">
        <f t="shared" si="22"/>
        <v>25273</v>
      </c>
      <c r="M120" s="42">
        <f t="shared" si="22"/>
        <v>28053</v>
      </c>
      <c r="N120" s="42">
        <f t="shared" si="22"/>
        <v>29629</v>
      </c>
      <c r="O120" s="42">
        <f t="shared" si="22"/>
        <v>34947</v>
      </c>
      <c r="P120" s="42">
        <f t="shared" si="22"/>
        <v>42266</v>
      </c>
      <c r="Q120" s="42">
        <f t="shared" si="22"/>
        <v>43838</v>
      </c>
      <c r="R120" s="42">
        <f t="shared" si="22"/>
        <v>65501</v>
      </c>
      <c r="S120" s="42">
        <f t="shared" si="22"/>
        <v>85851</v>
      </c>
      <c r="T120" s="42">
        <f t="shared" si="22"/>
        <v>71561</v>
      </c>
      <c r="U120" s="42">
        <f t="shared" si="22"/>
        <v>76967</v>
      </c>
      <c r="V120" s="42">
        <f t="shared" si="22"/>
        <v>79098</v>
      </c>
      <c r="W120" s="42">
        <f t="shared" si="22"/>
        <v>97203</v>
      </c>
      <c r="X120" s="42">
        <f t="shared" si="22"/>
        <v>103708</v>
      </c>
      <c r="Y120" s="37">
        <f t="shared" si="22"/>
        <v>104770</v>
      </c>
      <c r="Z120" s="37">
        <f t="shared" si="22"/>
        <v>112460</v>
      </c>
      <c r="AA120" s="37">
        <f t="shared" si="22"/>
        <v>106063</v>
      </c>
      <c r="AB120" s="37">
        <f t="shared" si="22"/>
        <v>115277</v>
      </c>
      <c r="AC120" s="37">
        <f t="shared" si="22"/>
        <v>130104</v>
      </c>
      <c r="AD120" s="37">
        <f t="shared" si="22"/>
        <v>138461</v>
      </c>
      <c r="AE120" s="37">
        <f t="shared" si="22"/>
        <v>83163</v>
      </c>
      <c r="AF120" s="37">
        <f t="shared" si="22"/>
        <v>71904</v>
      </c>
      <c r="AG120" s="37">
        <f t="shared" si="22"/>
        <v>113800</v>
      </c>
      <c r="AH120" s="37">
        <f t="shared" si="22"/>
        <v>109718</v>
      </c>
    </row>
    <row r="121" spans="1:34" x14ac:dyDescent="0.25">
      <c r="A121" s="85" t="s">
        <v>16</v>
      </c>
      <c r="B121" s="42">
        <f t="shared" ref="B121:AH121" si="23">B84+B103</f>
        <v>9585</v>
      </c>
      <c r="C121" s="42">
        <f t="shared" si="23"/>
        <v>10304</v>
      </c>
      <c r="D121" s="42">
        <f t="shared" si="23"/>
        <v>11350</v>
      </c>
      <c r="E121" s="42">
        <f t="shared" si="23"/>
        <v>13810</v>
      </c>
      <c r="F121" s="42">
        <f t="shared" si="23"/>
        <v>19704</v>
      </c>
      <c r="G121" s="42">
        <f t="shared" si="23"/>
        <v>22342</v>
      </c>
      <c r="H121" s="42">
        <f t="shared" si="23"/>
        <v>27609</v>
      </c>
      <c r="I121" s="42">
        <f t="shared" si="23"/>
        <v>26972</v>
      </c>
      <c r="J121" s="42">
        <f t="shared" si="23"/>
        <v>27177</v>
      </c>
      <c r="K121" s="42">
        <f t="shared" si="23"/>
        <v>27297</v>
      </c>
      <c r="L121" s="42">
        <f t="shared" si="23"/>
        <v>27464</v>
      </c>
      <c r="M121" s="42">
        <f t="shared" si="23"/>
        <v>28064</v>
      </c>
      <c r="N121" s="42">
        <f t="shared" si="23"/>
        <v>29318</v>
      </c>
      <c r="O121" s="42">
        <f t="shared" si="23"/>
        <v>34973</v>
      </c>
      <c r="P121" s="42">
        <f t="shared" si="23"/>
        <v>40876</v>
      </c>
      <c r="Q121" s="42">
        <f t="shared" si="23"/>
        <v>45775</v>
      </c>
      <c r="R121" s="42">
        <f t="shared" si="23"/>
        <v>57601</v>
      </c>
      <c r="S121" s="42">
        <f t="shared" si="23"/>
        <v>65700</v>
      </c>
      <c r="T121" s="42">
        <f t="shared" si="23"/>
        <v>70717</v>
      </c>
      <c r="U121" s="42">
        <f t="shared" si="23"/>
        <v>72640</v>
      </c>
      <c r="V121" s="42">
        <f t="shared" si="23"/>
        <v>83452</v>
      </c>
      <c r="W121" s="42">
        <f t="shared" si="23"/>
        <v>95838</v>
      </c>
      <c r="X121" s="42">
        <f t="shared" si="23"/>
        <v>100882</v>
      </c>
      <c r="Y121" s="37">
        <f t="shared" si="23"/>
        <v>101596</v>
      </c>
      <c r="Z121" s="37">
        <f t="shared" si="23"/>
        <v>102431</v>
      </c>
      <c r="AA121" s="37">
        <f t="shared" si="23"/>
        <v>104499</v>
      </c>
      <c r="AB121" s="37">
        <f t="shared" si="23"/>
        <v>117551</v>
      </c>
      <c r="AC121" s="37">
        <f t="shared" si="23"/>
        <v>127969</v>
      </c>
      <c r="AD121" s="37">
        <f t="shared" si="23"/>
        <v>136338</v>
      </c>
      <c r="AE121" s="37">
        <f t="shared" si="23"/>
        <v>987</v>
      </c>
      <c r="AF121" s="37">
        <f t="shared" si="23"/>
        <v>80785</v>
      </c>
      <c r="AG121" s="37">
        <f t="shared" si="23"/>
        <v>122341</v>
      </c>
      <c r="AH121" s="37">
        <f t="shared" si="23"/>
        <v>126190</v>
      </c>
    </row>
    <row r="122" spans="1:34" x14ac:dyDescent="0.25">
      <c r="A122" s="85" t="s">
        <v>17</v>
      </c>
      <c r="B122" s="42">
        <f t="shared" ref="B122:AH122" si="24">B85+B104</f>
        <v>9915</v>
      </c>
      <c r="C122" s="42">
        <f t="shared" si="24"/>
        <v>10600</v>
      </c>
      <c r="D122" s="42">
        <f t="shared" si="24"/>
        <v>11199</v>
      </c>
      <c r="E122" s="42">
        <f t="shared" si="24"/>
        <v>13786</v>
      </c>
      <c r="F122" s="42">
        <f t="shared" si="24"/>
        <v>19553</v>
      </c>
      <c r="G122" s="42">
        <f t="shared" si="24"/>
        <v>21026</v>
      </c>
      <c r="H122" s="42">
        <f t="shared" si="24"/>
        <v>25905</v>
      </c>
      <c r="I122" s="42">
        <f t="shared" si="24"/>
        <v>28736</v>
      </c>
      <c r="J122" s="42">
        <f t="shared" si="24"/>
        <v>26657</v>
      </c>
      <c r="K122" s="42">
        <f t="shared" si="24"/>
        <v>28354</v>
      </c>
      <c r="L122" s="42">
        <f t="shared" si="24"/>
        <v>27845</v>
      </c>
      <c r="M122" s="42">
        <f t="shared" si="24"/>
        <v>28230</v>
      </c>
      <c r="N122" s="42">
        <f t="shared" si="24"/>
        <v>30326</v>
      </c>
      <c r="O122" s="42">
        <f t="shared" si="24"/>
        <v>37319</v>
      </c>
      <c r="P122" s="42">
        <f t="shared" si="24"/>
        <v>44610</v>
      </c>
      <c r="Q122" s="42">
        <f t="shared" si="24"/>
        <v>49936</v>
      </c>
      <c r="R122" s="42">
        <f t="shared" si="24"/>
        <v>61735</v>
      </c>
      <c r="S122" s="42">
        <f t="shared" si="24"/>
        <v>74290</v>
      </c>
      <c r="T122" s="42">
        <f t="shared" si="24"/>
        <v>72738</v>
      </c>
      <c r="U122" s="42">
        <f t="shared" si="24"/>
        <v>82405</v>
      </c>
      <c r="V122" s="42">
        <f t="shared" si="24"/>
        <v>83379</v>
      </c>
      <c r="W122" s="42">
        <f t="shared" si="24"/>
        <v>93189</v>
      </c>
      <c r="X122" s="42">
        <f t="shared" si="24"/>
        <v>109478</v>
      </c>
      <c r="Y122" s="37">
        <f t="shared" si="24"/>
        <v>108169</v>
      </c>
      <c r="Z122" s="37">
        <f t="shared" si="24"/>
        <v>109138</v>
      </c>
      <c r="AA122" s="37">
        <f t="shared" si="24"/>
        <v>112072</v>
      </c>
      <c r="AB122" s="37">
        <f t="shared" si="24"/>
        <v>120153</v>
      </c>
      <c r="AC122" s="37">
        <f t="shared" si="24"/>
        <v>129596</v>
      </c>
      <c r="AD122" s="37">
        <f t="shared" si="24"/>
        <v>140108</v>
      </c>
      <c r="AE122" s="37">
        <f t="shared" si="24"/>
        <v>1146</v>
      </c>
      <c r="AF122" s="37">
        <f t="shared" si="24"/>
        <v>71307</v>
      </c>
      <c r="AG122" s="37">
        <f t="shared" si="24"/>
        <v>124574</v>
      </c>
      <c r="AH122" s="37">
        <f t="shared" si="24"/>
        <v>153010</v>
      </c>
    </row>
    <row r="123" spans="1:34" x14ac:dyDescent="0.25">
      <c r="A123" s="85" t="s">
        <v>18</v>
      </c>
      <c r="B123" s="42">
        <f t="shared" ref="B123:AH123" si="25">B86+B105</f>
        <v>8679</v>
      </c>
      <c r="C123" s="42">
        <f t="shared" si="25"/>
        <v>9649</v>
      </c>
      <c r="D123" s="42">
        <f t="shared" si="25"/>
        <v>11820</v>
      </c>
      <c r="E123" s="42">
        <f t="shared" si="25"/>
        <v>14791</v>
      </c>
      <c r="F123" s="42">
        <f t="shared" si="25"/>
        <v>19012</v>
      </c>
      <c r="G123" s="42">
        <f t="shared" si="25"/>
        <v>24008</v>
      </c>
      <c r="H123" s="42">
        <f t="shared" si="25"/>
        <v>25725</v>
      </c>
      <c r="I123" s="42">
        <f t="shared" si="25"/>
        <v>26401</v>
      </c>
      <c r="J123" s="42">
        <f t="shared" si="25"/>
        <v>27182</v>
      </c>
      <c r="K123" s="42">
        <f t="shared" si="25"/>
        <v>28381</v>
      </c>
      <c r="L123" s="42">
        <f t="shared" si="25"/>
        <v>28287</v>
      </c>
      <c r="M123" s="42">
        <f t="shared" si="25"/>
        <v>28151</v>
      </c>
      <c r="N123" s="42">
        <f t="shared" si="25"/>
        <v>44821</v>
      </c>
      <c r="O123" s="42">
        <f t="shared" si="25"/>
        <v>38649</v>
      </c>
      <c r="P123" s="42">
        <f t="shared" si="25"/>
        <v>42952</v>
      </c>
      <c r="Q123" s="42">
        <f t="shared" si="25"/>
        <v>51671</v>
      </c>
      <c r="R123" s="42">
        <f t="shared" si="25"/>
        <v>64221</v>
      </c>
      <c r="S123" s="42">
        <f t="shared" si="25"/>
        <v>79511</v>
      </c>
      <c r="T123" s="42">
        <f t="shared" si="25"/>
        <v>73520</v>
      </c>
      <c r="U123" s="42">
        <f t="shared" si="25"/>
        <v>82807</v>
      </c>
      <c r="V123" s="42">
        <f t="shared" si="25"/>
        <v>90417</v>
      </c>
      <c r="W123" s="42">
        <f t="shared" si="25"/>
        <v>102454</v>
      </c>
      <c r="X123" s="42">
        <f t="shared" si="25"/>
        <v>114568</v>
      </c>
      <c r="Y123" s="37">
        <f t="shared" si="25"/>
        <v>115902</v>
      </c>
      <c r="Z123" s="37">
        <f t="shared" si="25"/>
        <v>115862</v>
      </c>
      <c r="AA123" s="37">
        <f t="shared" si="25"/>
        <v>112432</v>
      </c>
      <c r="AB123" s="37">
        <f t="shared" si="25"/>
        <v>120500</v>
      </c>
      <c r="AC123" s="37">
        <f t="shared" si="25"/>
        <v>134122</v>
      </c>
      <c r="AD123" s="37">
        <f t="shared" si="25"/>
        <v>145595</v>
      </c>
      <c r="AE123" s="37">
        <f t="shared" si="25"/>
        <v>1892</v>
      </c>
      <c r="AF123" s="37">
        <f t="shared" si="25"/>
        <v>69346</v>
      </c>
      <c r="AG123" s="37">
        <f t="shared" si="25"/>
        <v>135261</v>
      </c>
      <c r="AH123" s="37">
        <f t="shared" si="25"/>
        <v>160915</v>
      </c>
    </row>
    <row r="124" spans="1:34" x14ac:dyDescent="0.25">
      <c r="A124" s="85" t="s">
        <v>19</v>
      </c>
      <c r="B124" s="42">
        <f t="shared" ref="B124:AC124" si="26">B87+B106</f>
        <v>11817</v>
      </c>
      <c r="C124" s="42">
        <f t="shared" si="26"/>
        <v>12023</v>
      </c>
      <c r="D124" s="42">
        <f t="shared" si="26"/>
        <v>13432</v>
      </c>
      <c r="E124" s="42">
        <f t="shared" si="26"/>
        <v>18054</v>
      </c>
      <c r="F124" s="42">
        <f t="shared" si="26"/>
        <v>24329</v>
      </c>
      <c r="G124" s="42">
        <f t="shared" si="26"/>
        <v>27023</v>
      </c>
      <c r="H124" s="42">
        <f t="shared" si="26"/>
        <v>30587</v>
      </c>
      <c r="I124" s="42">
        <f t="shared" si="26"/>
        <v>30961</v>
      </c>
      <c r="J124" s="42">
        <f t="shared" si="26"/>
        <v>31504</v>
      </c>
      <c r="K124" s="42">
        <f t="shared" si="26"/>
        <v>32515</v>
      </c>
      <c r="L124" s="42">
        <f t="shared" si="26"/>
        <v>32632</v>
      </c>
      <c r="M124" s="42">
        <f t="shared" si="26"/>
        <v>36058</v>
      </c>
      <c r="N124" s="42">
        <f t="shared" si="26"/>
        <v>40202</v>
      </c>
      <c r="O124" s="42">
        <f t="shared" si="26"/>
        <v>42935</v>
      </c>
      <c r="P124" s="42">
        <f t="shared" si="26"/>
        <v>50175</v>
      </c>
      <c r="Q124" s="42">
        <f t="shared" si="26"/>
        <v>58457</v>
      </c>
      <c r="R124" s="42">
        <f t="shared" si="26"/>
        <v>73865</v>
      </c>
      <c r="S124" s="42">
        <f t="shared" si="26"/>
        <v>85195</v>
      </c>
      <c r="T124" s="42">
        <f t="shared" si="26"/>
        <v>87299</v>
      </c>
      <c r="U124" s="42">
        <f t="shared" si="26"/>
        <v>100068</v>
      </c>
      <c r="V124" s="42">
        <f t="shared" si="26"/>
        <v>107083</v>
      </c>
      <c r="W124" s="42">
        <f t="shared" si="26"/>
        <v>114101</v>
      </c>
      <c r="X124" s="42">
        <f t="shared" si="26"/>
        <v>122060</v>
      </c>
      <c r="Y124" s="37">
        <f t="shared" si="26"/>
        <v>115282</v>
      </c>
      <c r="Z124" s="37">
        <f t="shared" si="26"/>
        <v>124902</v>
      </c>
      <c r="AA124" s="37">
        <f t="shared" si="26"/>
        <v>135253</v>
      </c>
      <c r="AB124" s="37">
        <f t="shared" si="26"/>
        <v>145020</v>
      </c>
      <c r="AC124" s="37">
        <f t="shared" si="26"/>
        <v>158508</v>
      </c>
      <c r="AD124" s="37">
        <f>AD87+AD106</f>
        <v>166980</v>
      </c>
      <c r="AE124" s="37">
        <f>AE87+AE106</f>
        <v>6235</v>
      </c>
      <c r="AF124" s="37">
        <f t="shared" ref="AF124:AH124" si="27">AF87+AF106</f>
        <v>52731</v>
      </c>
      <c r="AG124" s="37">
        <f t="shared" si="27"/>
        <v>151653</v>
      </c>
      <c r="AH124" s="37">
        <f t="shared" si="27"/>
        <v>185253</v>
      </c>
    </row>
    <row r="125" spans="1:34" x14ac:dyDescent="0.25">
      <c r="A125" s="85" t="s">
        <v>20</v>
      </c>
      <c r="B125" s="42">
        <f t="shared" ref="B125:AH125" si="28">B88+B107</f>
        <v>10816</v>
      </c>
      <c r="C125" s="42">
        <f t="shared" si="28"/>
        <v>12095</v>
      </c>
      <c r="D125" s="42">
        <f t="shared" si="28"/>
        <v>14216</v>
      </c>
      <c r="E125" s="42">
        <f t="shared" si="28"/>
        <v>19085</v>
      </c>
      <c r="F125" s="42">
        <f t="shared" si="28"/>
        <v>23977</v>
      </c>
      <c r="G125" s="42">
        <f t="shared" si="28"/>
        <v>28499</v>
      </c>
      <c r="H125" s="42">
        <f t="shared" si="28"/>
        <v>30417</v>
      </c>
      <c r="I125" s="42">
        <f t="shared" si="28"/>
        <v>30465</v>
      </c>
      <c r="J125" s="42">
        <f t="shared" si="28"/>
        <v>31614</v>
      </c>
      <c r="K125" s="42">
        <f t="shared" si="28"/>
        <v>31408</v>
      </c>
      <c r="L125" s="42">
        <f t="shared" si="28"/>
        <v>35768</v>
      </c>
      <c r="M125" s="42">
        <f t="shared" si="28"/>
        <v>34663</v>
      </c>
      <c r="N125" s="42">
        <f t="shared" si="28"/>
        <v>38677</v>
      </c>
      <c r="O125" s="42">
        <f t="shared" si="28"/>
        <v>51194</v>
      </c>
      <c r="P125" s="42">
        <f t="shared" si="28"/>
        <v>56508</v>
      </c>
      <c r="Q125" s="42">
        <f t="shared" si="28"/>
        <v>62909</v>
      </c>
      <c r="R125" s="42">
        <f t="shared" si="28"/>
        <v>75181</v>
      </c>
      <c r="S125" s="42">
        <f t="shared" si="28"/>
        <v>86165</v>
      </c>
      <c r="T125" s="42">
        <f t="shared" si="28"/>
        <v>88340</v>
      </c>
      <c r="U125" s="42">
        <f t="shared" si="28"/>
        <v>100582</v>
      </c>
      <c r="V125" s="42">
        <f t="shared" si="28"/>
        <v>97476</v>
      </c>
      <c r="W125" s="42">
        <f t="shared" si="28"/>
        <v>109194</v>
      </c>
      <c r="X125" s="42">
        <f t="shared" si="28"/>
        <v>120316</v>
      </c>
      <c r="Y125" s="37">
        <f t="shared" si="28"/>
        <v>123545</v>
      </c>
      <c r="Z125" s="37">
        <f t="shared" si="28"/>
        <v>130628</v>
      </c>
      <c r="AA125" s="37">
        <f t="shared" si="28"/>
        <v>136344</v>
      </c>
      <c r="AB125" s="37">
        <f t="shared" si="28"/>
        <v>140743</v>
      </c>
      <c r="AC125" s="37">
        <f t="shared" si="28"/>
        <v>153325</v>
      </c>
      <c r="AD125" s="37">
        <f t="shared" si="28"/>
        <v>163344</v>
      </c>
      <c r="AE125" s="37">
        <f t="shared" si="28"/>
        <v>6541</v>
      </c>
      <c r="AF125" s="37">
        <f t="shared" si="28"/>
        <v>71360</v>
      </c>
      <c r="AG125" s="37">
        <f t="shared" si="28"/>
        <v>153459</v>
      </c>
      <c r="AH125" s="37">
        <f t="shared" si="28"/>
        <v>0</v>
      </c>
    </row>
    <row r="126" spans="1:34" x14ac:dyDescent="0.25">
      <c r="A126" s="85" t="s">
        <v>9</v>
      </c>
      <c r="B126" s="42">
        <f t="shared" ref="B126:AH126" si="29">B89+B108</f>
        <v>9596</v>
      </c>
      <c r="C126" s="42">
        <f t="shared" si="29"/>
        <v>11690</v>
      </c>
      <c r="D126" s="42">
        <f t="shared" si="29"/>
        <v>13777</v>
      </c>
      <c r="E126" s="42">
        <f t="shared" si="29"/>
        <v>17777</v>
      </c>
      <c r="F126" s="42">
        <f t="shared" si="29"/>
        <v>23058</v>
      </c>
      <c r="G126" s="42">
        <f t="shared" si="29"/>
        <v>27337</v>
      </c>
      <c r="H126" s="42">
        <f t="shared" si="29"/>
        <v>27594</v>
      </c>
      <c r="I126" s="42">
        <f t="shared" si="29"/>
        <v>26917</v>
      </c>
      <c r="J126" s="42">
        <f t="shared" si="29"/>
        <v>30810</v>
      </c>
      <c r="K126" s="42">
        <f t="shared" si="29"/>
        <v>30953</v>
      </c>
      <c r="L126" s="42">
        <f t="shared" si="29"/>
        <v>30907</v>
      </c>
      <c r="M126" s="42">
        <f t="shared" si="29"/>
        <v>32365</v>
      </c>
      <c r="N126" s="42">
        <f t="shared" si="29"/>
        <v>35086</v>
      </c>
      <c r="O126" s="42">
        <f t="shared" si="29"/>
        <v>42012</v>
      </c>
      <c r="P126" s="42">
        <f t="shared" si="29"/>
        <v>49785</v>
      </c>
      <c r="Q126" s="42">
        <f t="shared" si="29"/>
        <v>62541</v>
      </c>
      <c r="R126" s="42">
        <f t="shared" si="29"/>
        <v>74375</v>
      </c>
      <c r="S126" s="42">
        <f t="shared" si="29"/>
        <v>81155</v>
      </c>
      <c r="T126" s="42">
        <f t="shared" si="29"/>
        <v>77459</v>
      </c>
      <c r="U126" s="42">
        <f t="shared" si="29"/>
        <v>81777</v>
      </c>
      <c r="V126" s="42">
        <f t="shared" si="29"/>
        <v>89772</v>
      </c>
      <c r="W126" s="42">
        <f t="shared" si="29"/>
        <v>107533</v>
      </c>
      <c r="X126" s="42">
        <f t="shared" si="29"/>
        <v>113905</v>
      </c>
      <c r="Y126" s="37">
        <f t="shared" si="29"/>
        <v>105248</v>
      </c>
      <c r="Z126" s="37">
        <f t="shared" si="29"/>
        <v>113664</v>
      </c>
      <c r="AA126" s="37">
        <f t="shared" si="29"/>
        <v>119658</v>
      </c>
      <c r="AB126" s="37">
        <f t="shared" si="29"/>
        <v>128215</v>
      </c>
      <c r="AC126" s="37">
        <f t="shared" si="29"/>
        <v>148382</v>
      </c>
      <c r="AD126" s="37">
        <f t="shared" si="29"/>
        <v>155664</v>
      </c>
      <c r="AE126" s="37">
        <f t="shared" si="29"/>
        <v>11519</v>
      </c>
      <c r="AF126" s="37">
        <f t="shared" si="29"/>
        <v>79192</v>
      </c>
      <c r="AG126" s="37">
        <f t="shared" si="29"/>
        <v>144089</v>
      </c>
      <c r="AH126" s="37">
        <f t="shared" si="29"/>
        <v>0</v>
      </c>
    </row>
    <row r="127" spans="1:34" x14ac:dyDescent="0.25">
      <c r="A127" s="85" t="s">
        <v>10</v>
      </c>
      <c r="B127" s="42">
        <f t="shared" ref="B127:AH127" si="30">B90+B109</f>
        <v>9394</v>
      </c>
      <c r="C127" s="42">
        <f t="shared" si="30"/>
        <v>10647</v>
      </c>
      <c r="D127" s="42">
        <f t="shared" si="30"/>
        <v>12549</v>
      </c>
      <c r="E127" s="42">
        <f t="shared" si="30"/>
        <v>16708</v>
      </c>
      <c r="F127" s="42">
        <f t="shared" si="30"/>
        <v>21307</v>
      </c>
      <c r="G127" s="42">
        <f t="shared" si="30"/>
        <v>24020</v>
      </c>
      <c r="H127" s="42">
        <f t="shared" si="30"/>
        <v>26679</v>
      </c>
      <c r="I127" s="42">
        <f t="shared" si="30"/>
        <v>27133</v>
      </c>
      <c r="J127" s="42">
        <f t="shared" si="30"/>
        <v>29585</v>
      </c>
      <c r="K127" s="42">
        <f t="shared" si="30"/>
        <v>27853</v>
      </c>
      <c r="L127" s="42">
        <f t="shared" si="30"/>
        <v>26476</v>
      </c>
      <c r="M127" s="42">
        <f t="shared" si="30"/>
        <v>29416</v>
      </c>
      <c r="N127" s="42">
        <f t="shared" si="30"/>
        <v>35797</v>
      </c>
      <c r="O127" s="42">
        <f t="shared" si="30"/>
        <v>41914</v>
      </c>
      <c r="P127" s="42">
        <f t="shared" si="30"/>
        <v>46681</v>
      </c>
      <c r="Q127" s="42">
        <f t="shared" si="30"/>
        <v>55361</v>
      </c>
      <c r="R127" s="42">
        <f t="shared" si="30"/>
        <v>67872</v>
      </c>
      <c r="S127" s="42">
        <f t="shared" si="30"/>
        <v>78650</v>
      </c>
      <c r="T127" s="42">
        <f t="shared" si="30"/>
        <v>87319</v>
      </c>
      <c r="U127" s="42">
        <f t="shared" si="30"/>
        <v>92298</v>
      </c>
      <c r="V127" s="42">
        <f t="shared" si="30"/>
        <v>99558</v>
      </c>
      <c r="W127" s="42">
        <f t="shared" si="30"/>
        <v>108856</v>
      </c>
      <c r="X127" s="42">
        <f t="shared" si="30"/>
        <v>112864</v>
      </c>
      <c r="Y127" s="37">
        <f t="shared" si="30"/>
        <v>108821</v>
      </c>
      <c r="Z127" s="37">
        <f t="shared" si="30"/>
        <v>110935</v>
      </c>
      <c r="AA127" s="37">
        <f t="shared" si="30"/>
        <v>117015</v>
      </c>
      <c r="AB127" s="37">
        <f t="shared" si="30"/>
        <v>122065</v>
      </c>
      <c r="AC127" s="37">
        <f t="shared" si="30"/>
        <v>138873</v>
      </c>
      <c r="AD127" s="37">
        <f t="shared" si="30"/>
        <v>148028</v>
      </c>
      <c r="AE127" s="37">
        <f t="shared" si="30"/>
        <v>39328</v>
      </c>
      <c r="AF127" s="37">
        <f t="shared" si="30"/>
        <v>99461</v>
      </c>
      <c r="AG127" s="37">
        <f t="shared" si="30"/>
        <v>136915</v>
      </c>
      <c r="AH127" s="37">
        <f t="shared" si="30"/>
        <v>0</v>
      </c>
    </row>
    <row r="128" spans="1:34" x14ac:dyDescent="0.25">
      <c r="A128" s="85" t="s">
        <v>11</v>
      </c>
      <c r="B128" s="42">
        <f t="shared" ref="B128:AH128" si="31">B91+B110</f>
        <v>9014</v>
      </c>
      <c r="C128" s="42">
        <f t="shared" si="31"/>
        <v>10821</v>
      </c>
      <c r="D128" s="42">
        <f t="shared" si="31"/>
        <v>12493</v>
      </c>
      <c r="E128" s="42">
        <f t="shared" si="31"/>
        <v>17331</v>
      </c>
      <c r="F128" s="42">
        <f t="shared" si="31"/>
        <v>21337</v>
      </c>
      <c r="G128" s="42">
        <f t="shared" si="31"/>
        <v>24150</v>
      </c>
      <c r="H128" s="42">
        <f t="shared" si="31"/>
        <v>26397</v>
      </c>
      <c r="I128" s="42">
        <f t="shared" si="31"/>
        <v>25728</v>
      </c>
      <c r="J128" s="42">
        <f t="shared" si="31"/>
        <v>27451</v>
      </c>
      <c r="K128" s="42">
        <f t="shared" si="31"/>
        <v>26251</v>
      </c>
      <c r="L128" s="42">
        <f t="shared" si="31"/>
        <v>25785</v>
      </c>
      <c r="M128" s="42">
        <f t="shared" si="31"/>
        <v>29271</v>
      </c>
      <c r="N128" s="42">
        <f t="shared" si="31"/>
        <v>33125</v>
      </c>
      <c r="O128" s="42">
        <f t="shared" si="31"/>
        <v>37973</v>
      </c>
      <c r="P128" s="42">
        <f t="shared" si="31"/>
        <v>43315</v>
      </c>
      <c r="Q128" s="42">
        <f t="shared" si="31"/>
        <v>57024</v>
      </c>
      <c r="R128" s="42">
        <f t="shared" si="31"/>
        <v>64151</v>
      </c>
      <c r="S128" s="42">
        <f t="shared" si="31"/>
        <v>77609</v>
      </c>
      <c r="T128" s="42">
        <f t="shared" si="31"/>
        <v>75788</v>
      </c>
      <c r="U128" s="42">
        <f t="shared" si="31"/>
        <v>87878</v>
      </c>
      <c r="V128" s="42">
        <f t="shared" si="31"/>
        <v>95034</v>
      </c>
      <c r="W128" s="42">
        <f t="shared" si="31"/>
        <v>101924</v>
      </c>
      <c r="X128" s="42">
        <f t="shared" si="31"/>
        <v>112439</v>
      </c>
      <c r="Y128" s="37">
        <f t="shared" si="31"/>
        <v>114863</v>
      </c>
      <c r="Z128" s="37">
        <f t="shared" si="31"/>
        <v>118936</v>
      </c>
      <c r="AA128" s="37">
        <f t="shared" si="31"/>
        <v>116803</v>
      </c>
      <c r="AB128" s="37">
        <f t="shared" si="31"/>
        <v>121116</v>
      </c>
      <c r="AC128" s="37">
        <f t="shared" si="31"/>
        <v>135841</v>
      </c>
      <c r="AD128" s="37">
        <f t="shared" si="31"/>
        <v>152296</v>
      </c>
      <c r="AE128" s="37">
        <f t="shared" si="31"/>
        <v>47847</v>
      </c>
      <c r="AF128" s="37">
        <f t="shared" si="31"/>
        <v>110534</v>
      </c>
      <c r="AG128" s="37">
        <f t="shared" si="31"/>
        <v>123749</v>
      </c>
      <c r="AH128" s="37">
        <f t="shared" si="31"/>
        <v>0</v>
      </c>
    </row>
    <row r="129" spans="1:34" x14ac:dyDescent="0.25">
      <c r="A129" s="85" t="s">
        <v>12</v>
      </c>
      <c r="B129" s="42">
        <f t="shared" ref="B129:AH129" si="32">B92+B111</f>
        <v>10348</v>
      </c>
      <c r="C129" s="42">
        <f t="shared" si="32"/>
        <v>12982</v>
      </c>
      <c r="D129" s="42">
        <f t="shared" si="32"/>
        <v>14671</v>
      </c>
      <c r="E129" s="42">
        <f t="shared" si="32"/>
        <v>19819</v>
      </c>
      <c r="F129" s="42">
        <f t="shared" si="32"/>
        <v>27855</v>
      </c>
      <c r="G129" s="42">
        <f t="shared" si="32"/>
        <v>30255</v>
      </c>
      <c r="H129" s="42">
        <f t="shared" si="32"/>
        <v>29977</v>
      </c>
      <c r="I129" s="42">
        <f t="shared" si="32"/>
        <v>30482</v>
      </c>
      <c r="J129" s="42">
        <f t="shared" si="32"/>
        <v>30878</v>
      </c>
      <c r="K129" s="42">
        <f t="shared" si="32"/>
        <v>29395</v>
      </c>
      <c r="L129" s="42">
        <f t="shared" si="32"/>
        <v>29140</v>
      </c>
      <c r="M129" s="42">
        <f t="shared" si="32"/>
        <v>32303</v>
      </c>
      <c r="N129" s="42">
        <f t="shared" si="32"/>
        <v>37596</v>
      </c>
      <c r="O129" s="42">
        <f t="shared" si="32"/>
        <v>43131</v>
      </c>
      <c r="P129" s="42">
        <f t="shared" si="32"/>
        <v>48892</v>
      </c>
      <c r="Q129" s="42">
        <f t="shared" si="32"/>
        <v>61270</v>
      </c>
      <c r="R129" s="42">
        <f t="shared" si="32"/>
        <v>66863</v>
      </c>
      <c r="S129" s="42">
        <f t="shared" si="32"/>
        <v>81244</v>
      </c>
      <c r="T129" s="42">
        <f t="shared" si="32"/>
        <v>84306</v>
      </c>
      <c r="U129" s="42">
        <f t="shared" si="32"/>
        <v>92997</v>
      </c>
      <c r="V129" s="42">
        <f t="shared" si="32"/>
        <v>103779</v>
      </c>
      <c r="W129" s="42">
        <f t="shared" si="32"/>
        <v>110900</v>
      </c>
      <c r="X129" s="42">
        <f t="shared" si="32"/>
        <v>122685</v>
      </c>
      <c r="Y129" s="37">
        <f t="shared" si="32"/>
        <v>117951</v>
      </c>
      <c r="Z129" s="37">
        <f t="shared" si="32"/>
        <v>124528</v>
      </c>
      <c r="AA129" s="37">
        <f t="shared" si="32"/>
        <v>136615</v>
      </c>
      <c r="AB129" s="37">
        <f t="shared" si="32"/>
        <v>147590</v>
      </c>
      <c r="AC129" s="37">
        <f t="shared" si="32"/>
        <v>157382</v>
      </c>
      <c r="AD129" s="37">
        <f t="shared" si="32"/>
        <v>179323</v>
      </c>
      <c r="AE129" s="37">
        <f t="shared" si="32"/>
        <v>63934</v>
      </c>
      <c r="AF129" s="37">
        <f t="shared" si="32"/>
        <v>123576</v>
      </c>
      <c r="AG129" s="37">
        <f t="shared" si="32"/>
        <v>156790</v>
      </c>
      <c r="AH129" s="37">
        <f t="shared" si="32"/>
        <v>0</v>
      </c>
    </row>
    <row r="130" spans="1:34" s="140" customFormat="1" ht="15.75" thickBot="1" x14ac:dyDescent="0.3">
      <c r="A130" s="95" t="s">
        <v>13</v>
      </c>
      <c r="B130" s="96">
        <f>SUM(B118:B129)</f>
        <v>118527</v>
      </c>
      <c r="C130" s="18">
        <f>SUM(C118:C129)</f>
        <v>130704</v>
      </c>
      <c r="D130" s="18">
        <f>SUM(D118:D129)</f>
        <v>148502</v>
      </c>
      <c r="E130" s="18">
        <f>SUM(E118:E129)</f>
        <v>191706</v>
      </c>
      <c r="F130" s="18">
        <f>SUM(F118:F129)</f>
        <v>254335</v>
      </c>
      <c r="G130" s="18">
        <f t="shared" ref="G130:Q130" si="33">SUM(G118:G129)</f>
        <v>296778</v>
      </c>
      <c r="H130" s="18">
        <f t="shared" si="33"/>
        <v>326265</v>
      </c>
      <c r="I130" s="18">
        <f t="shared" si="33"/>
        <v>334681</v>
      </c>
      <c r="J130" s="18">
        <f t="shared" si="33"/>
        <v>344686</v>
      </c>
      <c r="K130" s="18">
        <f t="shared" si="33"/>
        <v>343846</v>
      </c>
      <c r="L130" s="18">
        <f t="shared" si="33"/>
        <v>343722</v>
      </c>
      <c r="M130" s="18">
        <f t="shared" si="33"/>
        <v>362075</v>
      </c>
      <c r="N130" s="18">
        <f t="shared" si="33"/>
        <v>416697</v>
      </c>
      <c r="O130" s="18">
        <f t="shared" si="33"/>
        <v>475726</v>
      </c>
      <c r="P130" s="18">
        <f t="shared" si="33"/>
        <v>551853</v>
      </c>
      <c r="Q130" s="18">
        <f t="shared" si="33"/>
        <v>643330</v>
      </c>
      <c r="R130" s="18">
        <f t="shared" ref="R130:X130" si="34">SUM(R118:R129)</f>
        <v>781428</v>
      </c>
      <c r="S130" s="18">
        <f t="shared" si="34"/>
        <v>936184</v>
      </c>
      <c r="T130" s="18">
        <f t="shared" si="34"/>
        <v>929052</v>
      </c>
      <c r="U130" s="138">
        <f t="shared" si="34"/>
        <v>1023437</v>
      </c>
      <c r="V130" s="138">
        <f t="shared" si="34"/>
        <v>1085609</v>
      </c>
      <c r="W130" s="138">
        <f t="shared" si="34"/>
        <v>1238536</v>
      </c>
      <c r="X130" s="138">
        <f t="shared" si="34"/>
        <v>1343963</v>
      </c>
      <c r="Y130" s="139">
        <f>SUM(Y118:Y129)</f>
        <v>1332499</v>
      </c>
      <c r="Z130" s="139">
        <f>SUM(Z118:Z129)</f>
        <v>1375144</v>
      </c>
      <c r="AA130" s="139">
        <f t="shared" ref="AA130:AH130" si="35">AA93+AA112</f>
        <v>1401579</v>
      </c>
      <c r="AB130" s="139">
        <f t="shared" si="35"/>
        <v>1511237</v>
      </c>
      <c r="AC130" s="139">
        <f t="shared" si="35"/>
        <v>1670232</v>
      </c>
      <c r="AD130" s="139">
        <f t="shared" si="35"/>
        <v>1802107</v>
      </c>
      <c r="AE130" s="139">
        <f t="shared" si="35"/>
        <v>565541</v>
      </c>
      <c r="AF130" s="139">
        <f t="shared" si="35"/>
        <v>941688</v>
      </c>
      <c r="AG130" s="139">
        <f t="shared" si="35"/>
        <v>1574405</v>
      </c>
      <c r="AH130" s="139">
        <f t="shared" si="35"/>
        <v>1027682</v>
      </c>
    </row>
    <row r="131" spans="1:34" ht="15.75" thickTop="1" x14ac:dyDescent="0.25">
      <c r="A131" s="22" t="s">
        <v>26</v>
      </c>
      <c r="B131" s="102"/>
      <c r="C131" s="103">
        <f t="shared" ref="C131:AD131" si="36">(C130/B130-1)*100</f>
        <v>10.273608544888502</v>
      </c>
      <c r="D131" s="103">
        <f t="shared" si="36"/>
        <v>13.617027787978952</v>
      </c>
      <c r="E131" s="103">
        <f t="shared" si="36"/>
        <v>29.093210865846931</v>
      </c>
      <c r="F131" s="103">
        <f t="shared" si="36"/>
        <v>32.669295692362255</v>
      </c>
      <c r="G131" s="103">
        <f t="shared" si="36"/>
        <v>16.687832976192809</v>
      </c>
      <c r="H131" s="103">
        <f t="shared" si="36"/>
        <v>9.9357095202474497</v>
      </c>
      <c r="I131" s="103">
        <f t="shared" si="36"/>
        <v>2.5794982606163641</v>
      </c>
      <c r="J131" s="103">
        <f t="shared" si="36"/>
        <v>2.9894138000065684</v>
      </c>
      <c r="K131" s="103">
        <f t="shared" si="36"/>
        <v>-0.24370006324596627</v>
      </c>
      <c r="L131" s="103">
        <f t="shared" si="36"/>
        <v>-3.6062655956448086E-2</v>
      </c>
      <c r="M131" s="103">
        <f t="shared" si="36"/>
        <v>5.3394894711423779</v>
      </c>
      <c r="N131" s="103">
        <f t="shared" si="36"/>
        <v>15.085824760063527</v>
      </c>
      <c r="O131" s="103">
        <f t="shared" si="36"/>
        <v>14.165928720389154</v>
      </c>
      <c r="P131" s="103">
        <f t="shared" si="36"/>
        <v>16.002278622568443</v>
      </c>
      <c r="Q131" s="103">
        <f t="shared" si="36"/>
        <v>16.576334639840674</v>
      </c>
      <c r="R131" s="103">
        <f t="shared" si="36"/>
        <v>21.466121586122199</v>
      </c>
      <c r="S131" s="103">
        <f t="shared" si="36"/>
        <v>19.804255798358895</v>
      </c>
      <c r="T131" s="103">
        <f t="shared" si="36"/>
        <v>-0.76181605325449375</v>
      </c>
      <c r="U131" s="103">
        <f t="shared" si="36"/>
        <v>10.159280643064106</v>
      </c>
      <c r="V131" s="103">
        <f t="shared" si="36"/>
        <v>6.0748243418989212</v>
      </c>
      <c r="W131" s="103">
        <f t="shared" si="36"/>
        <v>14.086747622762896</v>
      </c>
      <c r="X131" s="103">
        <f t="shared" si="36"/>
        <v>8.5122273393748671</v>
      </c>
      <c r="Y131" s="103">
        <f t="shared" si="36"/>
        <v>-0.85299967335410454</v>
      </c>
      <c r="Z131" s="103">
        <f t="shared" si="36"/>
        <v>3.2003776363059178</v>
      </c>
      <c r="AA131" s="103">
        <f t="shared" si="36"/>
        <v>1.9223441326871926</v>
      </c>
      <c r="AB131" s="103">
        <f t="shared" si="36"/>
        <v>7.8238900554303381</v>
      </c>
      <c r="AC131" s="103">
        <f t="shared" si="36"/>
        <v>10.520851461418701</v>
      </c>
      <c r="AD131" s="103">
        <f t="shared" si="36"/>
        <v>7.8956097117047319</v>
      </c>
      <c r="AE131" s="103">
        <f t="shared" ref="AE131" si="37">(AE130/AD130-1)*100</f>
        <v>-68.617790175611105</v>
      </c>
      <c r="AF131" s="103">
        <f>(AF130/AE130-1)*100</f>
        <v>66.511004507188701</v>
      </c>
      <c r="AG131" s="103">
        <f>(AG130/AF130-1)*100</f>
        <v>67.189663667796552</v>
      </c>
    </row>
    <row r="134" spans="1:34" x14ac:dyDescent="0.25">
      <c r="A134" s="171" t="s">
        <v>30</v>
      </c>
      <c r="B134" s="171"/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04"/>
      <c r="AA134" s="104"/>
    </row>
    <row r="135" spans="1:34" x14ac:dyDescent="0.25">
      <c r="A135" s="171" t="s">
        <v>31</v>
      </c>
      <c r="B135" s="171"/>
      <c r="C135" s="171"/>
      <c r="D135" s="171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04"/>
      <c r="AA135" s="104"/>
    </row>
    <row r="136" spans="1:34" x14ac:dyDescent="0.25">
      <c r="A136" s="171" t="s">
        <v>32</v>
      </c>
      <c r="B136" s="171"/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04"/>
      <c r="AA136" s="104"/>
    </row>
    <row r="137" spans="1:34" ht="15.75" thickBot="1" x14ac:dyDescent="0.3"/>
    <row r="138" spans="1:34" ht="16.5" thickTop="1" thickBot="1" x14ac:dyDescent="0.3">
      <c r="A138" s="179" t="s">
        <v>0</v>
      </c>
      <c r="B138" s="178" t="s">
        <v>25</v>
      </c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81"/>
      <c r="AA138" s="4"/>
    </row>
    <row r="139" spans="1:34" ht="15.75" thickTop="1" x14ac:dyDescent="0.25">
      <c r="A139" s="180"/>
      <c r="B139" s="105">
        <v>1991</v>
      </c>
      <c r="C139" s="105">
        <v>1992</v>
      </c>
      <c r="D139" s="105">
        <v>1993</v>
      </c>
      <c r="E139" s="105">
        <v>1994</v>
      </c>
      <c r="F139" s="105">
        <v>1995</v>
      </c>
      <c r="G139" s="105">
        <v>1996</v>
      </c>
      <c r="H139" s="20">
        <v>1997</v>
      </c>
      <c r="I139" s="20">
        <v>1998</v>
      </c>
      <c r="J139" s="20">
        <v>1999</v>
      </c>
      <c r="K139" s="20">
        <v>2000</v>
      </c>
      <c r="L139" s="20">
        <v>2001</v>
      </c>
      <c r="M139" s="20">
        <v>2002</v>
      </c>
      <c r="N139" s="20">
        <v>2003</v>
      </c>
      <c r="O139" s="20">
        <v>2004</v>
      </c>
      <c r="P139" s="20">
        <v>2005</v>
      </c>
      <c r="Q139" s="20">
        <v>2006</v>
      </c>
      <c r="R139" s="20">
        <v>2007</v>
      </c>
      <c r="S139" s="20">
        <v>2008</v>
      </c>
      <c r="T139" s="20">
        <v>2009</v>
      </c>
      <c r="U139" s="20">
        <v>2010</v>
      </c>
      <c r="V139" s="20">
        <v>2011</v>
      </c>
      <c r="W139" s="20">
        <v>2012</v>
      </c>
      <c r="X139" s="20">
        <v>2013</v>
      </c>
      <c r="Y139" s="20">
        <v>2014</v>
      </c>
      <c r="Z139" s="38">
        <v>2015</v>
      </c>
      <c r="AA139" s="20">
        <v>2016</v>
      </c>
      <c r="AB139" s="3">
        <v>2017</v>
      </c>
      <c r="AC139" s="3">
        <v>2018</v>
      </c>
      <c r="AD139" s="3">
        <v>2019</v>
      </c>
      <c r="AE139" s="3">
        <v>2020</v>
      </c>
      <c r="AF139" s="3">
        <v>2021</v>
      </c>
      <c r="AG139" s="3">
        <v>2022</v>
      </c>
      <c r="AH139" s="3">
        <v>2023</v>
      </c>
    </row>
    <row r="140" spans="1:34" x14ac:dyDescent="0.25">
      <c r="A140" s="85" t="s">
        <v>1</v>
      </c>
      <c r="B140" s="4">
        <v>246</v>
      </c>
      <c r="C140" s="89">
        <v>264</v>
      </c>
      <c r="D140" s="89">
        <v>207</v>
      </c>
      <c r="E140" s="89">
        <v>248</v>
      </c>
      <c r="F140" s="89">
        <v>462</v>
      </c>
      <c r="G140" s="89">
        <v>562</v>
      </c>
      <c r="H140" s="4">
        <v>1491</v>
      </c>
      <c r="I140" s="4">
        <v>1213</v>
      </c>
      <c r="J140" s="4">
        <v>1499</v>
      </c>
      <c r="K140" s="4">
        <f>961+255</f>
        <v>1216</v>
      </c>
      <c r="L140" s="4">
        <f>958+105</f>
        <v>1063</v>
      </c>
      <c r="M140" s="4">
        <f>952+45</f>
        <v>997</v>
      </c>
      <c r="N140" s="4">
        <f>1446+143</f>
        <v>1589</v>
      </c>
      <c r="O140" s="4">
        <v>1716</v>
      </c>
      <c r="P140" s="4">
        <v>1379</v>
      </c>
      <c r="Q140" s="4">
        <v>1411</v>
      </c>
      <c r="R140" s="4">
        <v>1049</v>
      </c>
      <c r="S140" s="4">
        <v>914</v>
      </c>
      <c r="T140" s="4">
        <v>636</v>
      </c>
      <c r="U140" s="4">
        <v>407</v>
      </c>
      <c r="V140" s="4">
        <v>354</v>
      </c>
      <c r="W140" s="4">
        <v>351</v>
      </c>
      <c r="X140" s="4">
        <v>764</v>
      </c>
      <c r="Y140" s="4">
        <v>1058</v>
      </c>
      <c r="Z140" s="106">
        <v>659</v>
      </c>
      <c r="AA140" s="107">
        <v>546</v>
      </c>
      <c r="AB140" s="46">
        <v>610</v>
      </c>
      <c r="AC140" s="46">
        <v>913</v>
      </c>
      <c r="AD140" s="46">
        <v>1244</v>
      </c>
      <c r="AE140" s="46">
        <v>1188</v>
      </c>
      <c r="AF140" s="46">
        <v>140</v>
      </c>
      <c r="AG140" s="46">
        <v>528</v>
      </c>
      <c r="AH140" s="46">
        <v>924</v>
      </c>
    </row>
    <row r="141" spans="1:34" x14ac:dyDescent="0.25">
      <c r="A141" s="85" t="s">
        <v>2</v>
      </c>
      <c r="B141" s="4">
        <v>112</v>
      </c>
      <c r="C141" s="89">
        <v>265</v>
      </c>
      <c r="D141" s="89">
        <v>415</v>
      </c>
      <c r="E141" s="89">
        <v>261</v>
      </c>
      <c r="F141" s="89">
        <v>482</v>
      </c>
      <c r="G141" s="89">
        <v>668</v>
      </c>
      <c r="H141" s="4">
        <v>1322</v>
      </c>
      <c r="I141" s="4">
        <v>1190</v>
      </c>
      <c r="J141" s="4">
        <v>1521</v>
      </c>
      <c r="K141" s="4">
        <f>1066+194</f>
        <v>1260</v>
      </c>
      <c r="L141" s="4">
        <f>979+89</f>
        <v>1068</v>
      </c>
      <c r="M141" s="4">
        <f>915+85</f>
        <v>1000</v>
      </c>
      <c r="N141" s="4">
        <f>1531+135</f>
        <v>1666</v>
      </c>
      <c r="O141" s="4">
        <v>1655</v>
      </c>
      <c r="P141" s="4">
        <v>1633</v>
      </c>
      <c r="Q141" s="4">
        <v>1447</v>
      </c>
      <c r="R141" s="4">
        <v>1290</v>
      </c>
      <c r="S141" s="4">
        <v>1245</v>
      </c>
      <c r="T141" s="4">
        <v>777</v>
      </c>
      <c r="U141" s="4">
        <v>515</v>
      </c>
      <c r="V141" s="4">
        <v>332</v>
      </c>
      <c r="W141" s="4">
        <v>346</v>
      </c>
      <c r="X141" s="4">
        <v>843</v>
      </c>
      <c r="Y141" s="4">
        <v>1286</v>
      </c>
      <c r="Z141" s="106">
        <v>653</v>
      </c>
      <c r="AA141" s="107">
        <v>500</v>
      </c>
      <c r="AB141" s="46">
        <v>714</v>
      </c>
      <c r="AC141" s="46">
        <v>950</v>
      </c>
      <c r="AD141" s="46">
        <v>1205</v>
      </c>
      <c r="AE141" s="46">
        <v>1188</v>
      </c>
      <c r="AF141" s="46">
        <v>156</v>
      </c>
      <c r="AG141" s="46">
        <v>574</v>
      </c>
      <c r="AH141" s="46">
        <v>906</v>
      </c>
    </row>
    <row r="142" spans="1:34" x14ac:dyDescent="0.25">
      <c r="A142" s="85" t="s">
        <v>3</v>
      </c>
      <c r="B142" s="4">
        <v>188</v>
      </c>
      <c r="C142" s="89">
        <v>304</v>
      </c>
      <c r="D142" s="89">
        <v>267</v>
      </c>
      <c r="E142" s="89">
        <v>307</v>
      </c>
      <c r="F142" s="89">
        <v>584</v>
      </c>
      <c r="G142" s="89">
        <v>1126</v>
      </c>
      <c r="H142" s="4">
        <v>1235</v>
      </c>
      <c r="I142" s="4">
        <v>1235</v>
      </c>
      <c r="J142" s="4">
        <v>1731</v>
      </c>
      <c r="K142" s="4">
        <v>1132</v>
      </c>
      <c r="L142" s="4">
        <f>953+109</f>
        <v>1062</v>
      </c>
      <c r="M142" s="4">
        <f>1036+136</f>
        <v>1172</v>
      </c>
      <c r="N142" s="4">
        <v>1780</v>
      </c>
      <c r="O142" s="4">
        <v>2104</v>
      </c>
      <c r="P142" s="4">
        <v>1610</v>
      </c>
      <c r="Q142" s="4">
        <v>1503</v>
      </c>
      <c r="R142" s="4">
        <v>1166</v>
      </c>
      <c r="S142" s="4">
        <v>1087</v>
      </c>
      <c r="T142" s="4">
        <v>872</v>
      </c>
      <c r="U142" s="4">
        <v>424</v>
      </c>
      <c r="V142" s="4">
        <v>440</v>
      </c>
      <c r="W142" s="4">
        <v>516</v>
      </c>
      <c r="X142" s="4">
        <f>914</f>
        <v>914</v>
      </c>
      <c r="Y142" s="4">
        <v>1201</v>
      </c>
      <c r="Z142" s="106">
        <v>549</v>
      </c>
      <c r="AA142" s="107">
        <v>521</v>
      </c>
      <c r="AB142" s="46">
        <v>645</v>
      </c>
      <c r="AC142" s="46">
        <v>917</v>
      </c>
      <c r="AD142" s="46">
        <v>900</v>
      </c>
      <c r="AE142" s="46">
        <v>582</v>
      </c>
      <c r="AF142" s="46">
        <v>303</v>
      </c>
      <c r="AG142" s="46">
        <v>481</v>
      </c>
      <c r="AH142" s="46">
        <v>842</v>
      </c>
    </row>
    <row r="143" spans="1:34" x14ac:dyDescent="0.25">
      <c r="A143" s="85" t="s">
        <v>16</v>
      </c>
      <c r="B143" s="4">
        <v>287</v>
      </c>
      <c r="C143" s="89">
        <v>278</v>
      </c>
      <c r="D143" s="89">
        <v>357</v>
      </c>
      <c r="E143" s="89">
        <v>257</v>
      </c>
      <c r="F143" s="89">
        <v>731</v>
      </c>
      <c r="G143" s="89">
        <v>974</v>
      </c>
      <c r="H143" s="4">
        <v>1213</v>
      </c>
      <c r="I143" s="4">
        <v>1219</v>
      </c>
      <c r="J143" s="4">
        <v>1394</v>
      </c>
      <c r="K143" s="4">
        <f>1121+136</f>
        <v>1257</v>
      </c>
      <c r="L143" s="4">
        <f>1006+63</f>
        <v>1069</v>
      </c>
      <c r="M143" s="4">
        <f>902+83</f>
        <v>985</v>
      </c>
      <c r="N143" s="4">
        <f>1344+183</f>
        <v>1527</v>
      </c>
      <c r="O143" s="4">
        <v>1820</v>
      </c>
      <c r="P143" s="4">
        <v>1856</v>
      </c>
      <c r="Q143" s="4">
        <v>1360</v>
      </c>
      <c r="R143" s="4">
        <v>1006</v>
      </c>
      <c r="S143" s="4">
        <v>1118</v>
      </c>
      <c r="T143" s="4">
        <v>784</v>
      </c>
      <c r="U143" s="4">
        <v>439</v>
      </c>
      <c r="V143" s="4">
        <v>462</v>
      </c>
      <c r="W143" s="4">
        <v>474</v>
      </c>
      <c r="X143" s="4">
        <v>833</v>
      </c>
      <c r="Y143" s="4">
        <v>1107</v>
      </c>
      <c r="Z143" s="6">
        <v>599</v>
      </c>
      <c r="AA143" s="4">
        <v>485</v>
      </c>
      <c r="AB143" s="46">
        <v>592</v>
      </c>
      <c r="AC143" s="46">
        <v>754</v>
      </c>
      <c r="AD143" s="46">
        <v>708</v>
      </c>
      <c r="AE143" s="46">
        <v>0</v>
      </c>
      <c r="AF143" s="46">
        <v>192</v>
      </c>
      <c r="AG143" s="46">
        <v>463</v>
      </c>
      <c r="AH143" s="46">
        <v>590</v>
      </c>
    </row>
    <row r="144" spans="1:34" x14ac:dyDescent="0.25">
      <c r="A144" s="85" t="s">
        <v>17</v>
      </c>
      <c r="B144" s="4">
        <v>310</v>
      </c>
      <c r="C144" s="89">
        <v>269</v>
      </c>
      <c r="D144" s="89">
        <v>301</v>
      </c>
      <c r="E144" s="89">
        <v>318</v>
      </c>
      <c r="F144" s="89">
        <v>625</v>
      </c>
      <c r="G144" s="89">
        <v>1153</v>
      </c>
      <c r="H144" s="4">
        <v>1338</v>
      </c>
      <c r="I144" s="4">
        <v>1498</v>
      </c>
      <c r="J144" s="4">
        <v>1419</v>
      </c>
      <c r="K144" s="4">
        <f>1021+219</f>
        <v>1240</v>
      </c>
      <c r="L144" s="4">
        <f>1039+78</f>
        <v>1117</v>
      </c>
      <c r="M144" s="4">
        <v>1095</v>
      </c>
      <c r="N144" s="4">
        <f>1568+320</f>
        <v>1888</v>
      </c>
      <c r="O144" s="4">
        <v>1871</v>
      </c>
      <c r="P144" s="4">
        <f>1481+236</f>
        <v>1717</v>
      </c>
      <c r="Q144" s="4">
        <v>1499</v>
      </c>
      <c r="R144" s="4">
        <v>1286</v>
      </c>
      <c r="S144" s="4">
        <v>1092</v>
      </c>
      <c r="T144" s="4">
        <v>698</v>
      </c>
      <c r="U144" s="4">
        <v>407</v>
      </c>
      <c r="V144" s="4">
        <v>408</v>
      </c>
      <c r="W144" s="4">
        <v>542</v>
      </c>
      <c r="X144" s="4">
        <f>989</f>
        <v>989</v>
      </c>
      <c r="Y144" s="4">
        <v>1003</v>
      </c>
      <c r="Z144" s="6">
        <v>543</v>
      </c>
      <c r="AA144" s="20">
        <v>542</v>
      </c>
      <c r="AB144" s="46">
        <v>565</v>
      </c>
      <c r="AC144" s="46">
        <v>1083</v>
      </c>
      <c r="AD144" s="46">
        <v>877</v>
      </c>
      <c r="AE144" s="46">
        <v>2</v>
      </c>
      <c r="AF144" s="46">
        <v>238</v>
      </c>
      <c r="AG144" s="46">
        <v>692</v>
      </c>
      <c r="AH144" s="46">
        <v>620</v>
      </c>
    </row>
    <row r="145" spans="1:34" x14ac:dyDescent="0.25">
      <c r="A145" s="85" t="s">
        <v>18</v>
      </c>
      <c r="B145" s="4">
        <v>281</v>
      </c>
      <c r="C145" s="89">
        <v>216</v>
      </c>
      <c r="D145" s="89">
        <v>240</v>
      </c>
      <c r="E145" s="89">
        <v>418</v>
      </c>
      <c r="F145" s="89">
        <v>681</v>
      </c>
      <c r="G145" s="89">
        <v>1225</v>
      </c>
      <c r="H145" s="4">
        <v>1155</v>
      </c>
      <c r="I145" s="4">
        <v>1396</v>
      </c>
      <c r="J145" s="4">
        <v>1238</v>
      </c>
      <c r="K145" s="4">
        <v>1258</v>
      </c>
      <c r="L145" s="4">
        <v>1112</v>
      </c>
      <c r="M145" s="4">
        <v>1040</v>
      </c>
      <c r="N145" s="4">
        <f>1749+201</f>
        <v>1950</v>
      </c>
      <c r="O145" s="4">
        <v>1847</v>
      </c>
      <c r="P145" s="4">
        <v>1470</v>
      </c>
      <c r="Q145" s="4">
        <v>1332</v>
      </c>
      <c r="R145" s="4">
        <v>1152</v>
      </c>
      <c r="S145" s="4">
        <v>940</v>
      </c>
      <c r="T145" s="4">
        <v>795</v>
      </c>
      <c r="U145" s="4">
        <v>565</v>
      </c>
      <c r="V145" s="4">
        <v>435</v>
      </c>
      <c r="W145" s="4">
        <v>557</v>
      </c>
      <c r="X145" s="4">
        <v>1047</v>
      </c>
      <c r="Y145" s="4">
        <v>897</v>
      </c>
      <c r="Z145" s="6">
        <v>546</v>
      </c>
      <c r="AA145" s="107">
        <v>635</v>
      </c>
      <c r="AB145" s="46">
        <v>956</v>
      </c>
      <c r="AC145" s="46">
        <v>1269</v>
      </c>
      <c r="AD145" s="46">
        <v>1524</v>
      </c>
      <c r="AE145" s="46">
        <v>0</v>
      </c>
      <c r="AF145" s="46">
        <v>412</v>
      </c>
      <c r="AG145" s="46">
        <v>1125</v>
      </c>
      <c r="AH145" s="46">
        <v>1234</v>
      </c>
    </row>
    <row r="146" spans="1:34" x14ac:dyDescent="0.25">
      <c r="A146" s="85" t="s">
        <v>19</v>
      </c>
      <c r="B146" s="4">
        <v>137</v>
      </c>
      <c r="C146" s="89">
        <v>276</v>
      </c>
      <c r="D146" s="89">
        <v>194</v>
      </c>
      <c r="E146" s="89">
        <v>470</v>
      </c>
      <c r="F146" s="89">
        <v>662</v>
      </c>
      <c r="G146" s="89">
        <v>1261</v>
      </c>
      <c r="H146" s="4">
        <v>1249</v>
      </c>
      <c r="I146" s="4">
        <v>1273</v>
      </c>
      <c r="J146" s="4">
        <f>985+386</f>
        <v>1371</v>
      </c>
      <c r="K146" s="4">
        <f>1091+193</f>
        <v>1284</v>
      </c>
      <c r="L146" s="4">
        <f>992+102</f>
        <v>1094</v>
      </c>
      <c r="M146" s="4">
        <v>1261</v>
      </c>
      <c r="N146" s="4">
        <f>1892+172</f>
        <v>2064</v>
      </c>
      <c r="O146" s="4">
        <v>2025</v>
      </c>
      <c r="P146" s="4">
        <v>1852</v>
      </c>
      <c r="Q146" s="4">
        <v>1435</v>
      </c>
      <c r="R146" s="4">
        <v>1133</v>
      </c>
      <c r="S146" s="4">
        <v>1133</v>
      </c>
      <c r="T146" s="4">
        <v>958</v>
      </c>
      <c r="U146" s="4">
        <v>543</v>
      </c>
      <c r="V146" s="4">
        <v>467</v>
      </c>
      <c r="W146" s="4">
        <v>644</v>
      </c>
      <c r="X146" s="4">
        <f>1133</f>
        <v>1133</v>
      </c>
      <c r="Y146" s="4">
        <v>1173</v>
      </c>
      <c r="Z146" s="6">
        <v>792</v>
      </c>
      <c r="AA146" s="4">
        <v>886</v>
      </c>
      <c r="AB146" s="46">
        <v>959</v>
      </c>
      <c r="AC146" s="46">
        <v>1564</v>
      </c>
      <c r="AD146" s="46">
        <v>1476</v>
      </c>
      <c r="AE146" s="46">
        <v>10</v>
      </c>
      <c r="AF146" s="46">
        <v>540</v>
      </c>
      <c r="AG146" s="46">
        <v>1553</v>
      </c>
      <c r="AH146" s="46">
        <v>1628</v>
      </c>
    </row>
    <row r="147" spans="1:34" x14ac:dyDescent="0.25">
      <c r="A147" s="85" t="s">
        <v>20</v>
      </c>
      <c r="B147" s="4">
        <v>225</v>
      </c>
      <c r="C147" s="89">
        <v>256</v>
      </c>
      <c r="D147" s="89">
        <v>273</v>
      </c>
      <c r="E147" s="89">
        <v>544</v>
      </c>
      <c r="F147" s="89">
        <v>621</v>
      </c>
      <c r="G147" s="89">
        <v>1180</v>
      </c>
      <c r="H147" s="4">
        <v>1191</v>
      </c>
      <c r="I147" s="4">
        <v>1420</v>
      </c>
      <c r="J147" s="4">
        <f>820+317</f>
        <v>1137</v>
      </c>
      <c r="K147" s="4">
        <f>1131+183</f>
        <v>1314</v>
      </c>
      <c r="L147" s="4">
        <v>1078</v>
      </c>
      <c r="M147" s="4">
        <v>1897</v>
      </c>
      <c r="N147" s="4">
        <f>1789+197</f>
        <v>1986</v>
      </c>
      <c r="O147" s="4">
        <v>2028</v>
      </c>
      <c r="P147" s="4">
        <v>1675</v>
      </c>
      <c r="Q147" s="4">
        <v>1558</v>
      </c>
      <c r="R147" s="4">
        <v>1217</v>
      </c>
      <c r="S147" s="4">
        <v>1018</v>
      </c>
      <c r="T147" s="4">
        <v>704</v>
      </c>
      <c r="U147" s="4">
        <v>587</v>
      </c>
      <c r="V147" s="4">
        <v>466</v>
      </c>
      <c r="W147" s="4">
        <v>581</v>
      </c>
      <c r="X147" s="4">
        <v>1368</v>
      </c>
      <c r="Y147" s="4">
        <v>1099</v>
      </c>
      <c r="Z147" s="6">
        <v>757</v>
      </c>
      <c r="AA147" s="4">
        <v>733</v>
      </c>
      <c r="AB147" s="46">
        <v>1089</v>
      </c>
      <c r="AC147" s="46">
        <v>1469</v>
      </c>
      <c r="AD147" s="46">
        <v>1603</v>
      </c>
      <c r="AE147" s="46">
        <v>37</v>
      </c>
      <c r="AF147" s="46">
        <v>675</v>
      </c>
      <c r="AG147" s="46">
        <v>1625</v>
      </c>
      <c r="AH147" s="46"/>
    </row>
    <row r="148" spans="1:34" x14ac:dyDescent="0.25">
      <c r="A148" s="85" t="s">
        <v>9</v>
      </c>
      <c r="B148" s="4">
        <v>117</v>
      </c>
      <c r="C148" s="89">
        <v>186</v>
      </c>
      <c r="D148" s="89">
        <v>219</v>
      </c>
      <c r="E148" s="89">
        <v>442</v>
      </c>
      <c r="F148" s="89">
        <v>556</v>
      </c>
      <c r="G148" s="89">
        <v>1268</v>
      </c>
      <c r="H148" s="4">
        <v>1349</v>
      </c>
      <c r="I148" s="4">
        <v>1304</v>
      </c>
      <c r="J148" s="4">
        <f>1005+233</f>
        <v>1238</v>
      </c>
      <c r="K148" s="4">
        <f>1076+179</f>
        <v>1255</v>
      </c>
      <c r="L148" s="4">
        <v>1145</v>
      </c>
      <c r="M148" s="4">
        <v>1841</v>
      </c>
      <c r="N148" s="4">
        <f>1929+249</f>
        <v>2178</v>
      </c>
      <c r="O148" s="4">
        <v>1706</v>
      </c>
      <c r="P148" s="4">
        <v>1807</v>
      </c>
      <c r="Q148" s="4">
        <v>1395</v>
      </c>
      <c r="R148" s="4">
        <v>1131</v>
      </c>
      <c r="S148" s="4">
        <v>1008</v>
      </c>
      <c r="T148" s="4">
        <v>698</v>
      </c>
      <c r="U148" s="4">
        <v>484</v>
      </c>
      <c r="V148" s="4">
        <v>330</v>
      </c>
      <c r="W148" s="4">
        <v>571</v>
      </c>
      <c r="X148" s="4">
        <f>1282</f>
        <v>1282</v>
      </c>
      <c r="Y148" s="4">
        <v>910</v>
      </c>
      <c r="Z148" s="106">
        <v>654</v>
      </c>
      <c r="AA148" s="4">
        <v>728</v>
      </c>
      <c r="AB148" s="46">
        <v>904</v>
      </c>
      <c r="AC148" s="46">
        <v>1426</v>
      </c>
      <c r="AD148" s="46">
        <v>1411</v>
      </c>
      <c r="AE148" s="46">
        <v>39</v>
      </c>
      <c r="AF148" s="46">
        <v>645</v>
      </c>
      <c r="AG148" s="46">
        <v>1301</v>
      </c>
      <c r="AH148" s="46"/>
    </row>
    <row r="149" spans="1:34" x14ac:dyDescent="0.25">
      <c r="A149" s="85" t="s">
        <v>10</v>
      </c>
      <c r="B149" s="4">
        <v>121</v>
      </c>
      <c r="C149" s="89">
        <v>262</v>
      </c>
      <c r="D149" s="89">
        <v>238</v>
      </c>
      <c r="E149" s="89">
        <v>502</v>
      </c>
      <c r="F149" s="89">
        <v>645</v>
      </c>
      <c r="G149" s="89">
        <v>1652</v>
      </c>
      <c r="H149" s="4">
        <v>1312</v>
      </c>
      <c r="I149" s="4">
        <v>1386</v>
      </c>
      <c r="J149" s="4">
        <f>980+213</f>
        <v>1193</v>
      </c>
      <c r="K149" s="4">
        <f>978+125</f>
        <v>1103</v>
      </c>
      <c r="L149" s="4">
        <v>1117</v>
      </c>
      <c r="M149" s="4">
        <v>1915</v>
      </c>
      <c r="N149" s="4">
        <f>1756+251</f>
        <v>2007</v>
      </c>
      <c r="O149" s="4">
        <v>1746</v>
      </c>
      <c r="P149" s="4">
        <v>1649</v>
      </c>
      <c r="Q149" s="4">
        <v>1325</v>
      </c>
      <c r="R149" s="4">
        <v>1334</v>
      </c>
      <c r="S149" s="4">
        <v>962</v>
      </c>
      <c r="T149" s="4">
        <v>1084</v>
      </c>
      <c r="U149" s="4">
        <v>600</v>
      </c>
      <c r="V149" s="4">
        <v>368</v>
      </c>
      <c r="W149" s="4">
        <v>792</v>
      </c>
      <c r="X149" s="4">
        <v>1363</v>
      </c>
      <c r="Y149" s="4">
        <v>705</v>
      </c>
      <c r="Z149" s="6">
        <v>673</v>
      </c>
      <c r="AA149" s="4">
        <v>673</v>
      </c>
      <c r="AB149" s="46">
        <v>967</v>
      </c>
      <c r="AC149" s="46">
        <v>1425</v>
      </c>
      <c r="AD149" s="46">
        <v>1354</v>
      </c>
      <c r="AE149" s="46">
        <v>54</v>
      </c>
      <c r="AF149" s="46">
        <v>535</v>
      </c>
      <c r="AG149" s="46">
        <v>999</v>
      </c>
      <c r="AH149" s="46"/>
    </row>
    <row r="150" spans="1:34" x14ac:dyDescent="0.25">
      <c r="A150" s="85" t="s">
        <v>11</v>
      </c>
      <c r="B150" s="4">
        <v>226</v>
      </c>
      <c r="C150" s="89">
        <v>189</v>
      </c>
      <c r="D150" s="89">
        <v>234</v>
      </c>
      <c r="E150" s="89">
        <v>516</v>
      </c>
      <c r="F150" s="89">
        <v>725</v>
      </c>
      <c r="G150" s="89">
        <v>1530</v>
      </c>
      <c r="H150" s="4">
        <v>1201</v>
      </c>
      <c r="I150" s="4">
        <v>1490</v>
      </c>
      <c r="J150" s="4">
        <f>1005+256</f>
        <v>1261</v>
      </c>
      <c r="K150" s="4">
        <v>1065</v>
      </c>
      <c r="L150" s="4">
        <v>1194</v>
      </c>
      <c r="M150" s="4">
        <v>1807</v>
      </c>
      <c r="N150" s="4">
        <f>1791+210</f>
        <v>2001</v>
      </c>
      <c r="O150" s="4">
        <v>1624</v>
      </c>
      <c r="P150" s="4">
        <v>1647</v>
      </c>
      <c r="Q150" s="4">
        <v>1316</v>
      </c>
      <c r="R150" s="4">
        <v>895</v>
      </c>
      <c r="S150" s="4">
        <v>806</v>
      </c>
      <c r="T150" s="4">
        <v>644</v>
      </c>
      <c r="U150" s="4">
        <v>564</v>
      </c>
      <c r="V150" s="4">
        <v>389</v>
      </c>
      <c r="W150" s="4">
        <v>859</v>
      </c>
      <c r="X150" s="4">
        <v>1217</v>
      </c>
      <c r="Y150" s="4">
        <v>734</v>
      </c>
      <c r="Z150" s="108">
        <v>638</v>
      </c>
      <c r="AA150" s="4">
        <v>580</v>
      </c>
      <c r="AB150" s="46">
        <v>746</v>
      </c>
      <c r="AC150" s="46">
        <v>925</v>
      </c>
      <c r="AD150" s="46">
        <v>1127</v>
      </c>
      <c r="AE150" s="46">
        <v>76</v>
      </c>
      <c r="AF150" s="46">
        <v>471</v>
      </c>
      <c r="AG150" s="46">
        <v>668</v>
      </c>
      <c r="AH150" s="46"/>
    </row>
    <row r="151" spans="1:34" x14ac:dyDescent="0.25">
      <c r="A151" s="85" t="s">
        <v>12</v>
      </c>
      <c r="B151" s="4">
        <v>193</v>
      </c>
      <c r="C151" s="89">
        <v>212</v>
      </c>
      <c r="D151" s="89">
        <v>220</v>
      </c>
      <c r="E151" s="89">
        <v>572</v>
      </c>
      <c r="F151" s="89">
        <v>613</v>
      </c>
      <c r="G151" s="89">
        <v>1568</v>
      </c>
      <c r="H151" s="4">
        <v>1364</v>
      </c>
      <c r="I151" s="4">
        <v>1780</v>
      </c>
      <c r="J151" s="4">
        <f>1032+260</f>
        <v>1292</v>
      </c>
      <c r="K151" s="4">
        <v>1098</v>
      </c>
      <c r="L151" s="4">
        <v>1120</v>
      </c>
      <c r="M151" s="4">
        <f>1738+172</f>
        <v>1910</v>
      </c>
      <c r="N151" s="4">
        <f>1790+170</f>
        <v>1960</v>
      </c>
      <c r="O151" s="4">
        <v>1776</v>
      </c>
      <c r="P151" s="4">
        <v>1542</v>
      </c>
      <c r="Q151" s="4">
        <v>1231</v>
      </c>
      <c r="R151" s="4">
        <v>1044</v>
      </c>
      <c r="S151" s="4">
        <v>882</v>
      </c>
      <c r="T151" s="4">
        <v>538</v>
      </c>
      <c r="U151" s="4">
        <v>469</v>
      </c>
      <c r="V151" s="4">
        <v>381</v>
      </c>
      <c r="W151" s="4">
        <v>957</v>
      </c>
      <c r="X151" s="4">
        <v>1313</v>
      </c>
      <c r="Y151" s="4">
        <v>991</v>
      </c>
      <c r="Z151" s="108">
        <v>571</v>
      </c>
      <c r="AA151" s="4">
        <v>521</v>
      </c>
      <c r="AB151" s="46">
        <v>792</v>
      </c>
      <c r="AC151" s="46">
        <v>1103</v>
      </c>
      <c r="AD151" s="46">
        <v>1011</v>
      </c>
      <c r="AE151" s="46">
        <v>94</v>
      </c>
      <c r="AF151" s="46">
        <v>237</v>
      </c>
      <c r="AG151" s="46">
        <v>832</v>
      </c>
      <c r="AH151" s="46"/>
    </row>
    <row r="152" spans="1:34" ht="15.75" thickBot="1" x14ac:dyDescent="0.3">
      <c r="A152" s="95" t="s">
        <v>13</v>
      </c>
      <c r="B152" s="20">
        <f t="shared" ref="B152:Q152" si="38">SUM(B140:B151)</f>
        <v>2443</v>
      </c>
      <c r="C152" s="20">
        <f t="shared" si="38"/>
        <v>2977</v>
      </c>
      <c r="D152" s="20">
        <f t="shared" si="38"/>
        <v>3165</v>
      </c>
      <c r="E152" s="20">
        <f t="shared" si="38"/>
        <v>4855</v>
      </c>
      <c r="F152" s="20">
        <f t="shared" si="38"/>
        <v>7387</v>
      </c>
      <c r="G152" s="20">
        <f t="shared" si="38"/>
        <v>14167</v>
      </c>
      <c r="H152" s="20">
        <f t="shared" si="38"/>
        <v>15420</v>
      </c>
      <c r="I152" s="20">
        <f t="shared" si="38"/>
        <v>16404</v>
      </c>
      <c r="J152" s="20">
        <f t="shared" si="38"/>
        <v>16294</v>
      </c>
      <c r="K152" s="20">
        <f t="shared" si="38"/>
        <v>14482</v>
      </c>
      <c r="L152" s="20">
        <f t="shared" si="38"/>
        <v>13239</v>
      </c>
      <c r="M152" s="20">
        <f t="shared" si="38"/>
        <v>16920</v>
      </c>
      <c r="N152" s="20">
        <f t="shared" si="38"/>
        <v>22596</v>
      </c>
      <c r="O152" s="20">
        <f t="shared" si="38"/>
        <v>21918</v>
      </c>
      <c r="P152" s="20">
        <f t="shared" si="38"/>
        <v>19837</v>
      </c>
      <c r="Q152" s="20">
        <f t="shared" si="38"/>
        <v>16812</v>
      </c>
      <c r="R152" s="20">
        <f t="shared" ref="R152:Z152" si="39">SUM(R140:R151)</f>
        <v>13703</v>
      </c>
      <c r="S152" s="20">
        <f t="shared" si="39"/>
        <v>12205</v>
      </c>
      <c r="T152" s="20">
        <f t="shared" si="39"/>
        <v>9188</v>
      </c>
      <c r="U152" s="20">
        <f t="shared" si="39"/>
        <v>6004</v>
      </c>
      <c r="V152" s="20">
        <f t="shared" si="39"/>
        <v>4832</v>
      </c>
      <c r="W152" s="20">
        <f t="shared" si="39"/>
        <v>7190</v>
      </c>
      <c r="X152" s="20">
        <f t="shared" si="39"/>
        <v>13066</v>
      </c>
      <c r="Y152" s="20">
        <f t="shared" si="39"/>
        <v>12164</v>
      </c>
      <c r="Z152" s="38">
        <f t="shared" si="39"/>
        <v>7634</v>
      </c>
      <c r="AA152" s="20">
        <f t="shared" ref="AA152:AH152" si="40">SUM(AA140:AA151)</f>
        <v>7350</v>
      </c>
      <c r="AB152" s="55">
        <f t="shared" si="40"/>
        <v>9539</v>
      </c>
      <c r="AC152" s="55">
        <f t="shared" si="40"/>
        <v>13798</v>
      </c>
      <c r="AD152" s="55">
        <f t="shared" si="40"/>
        <v>14440</v>
      </c>
      <c r="AE152" s="55">
        <f t="shared" si="40"/>
        <v>3270</v>
      </c>
      <c r="AF152" s="55">
        <f t="shared" si="40"/>
        <v>4544</v>
      </c>
      <c r="AG152" s="55">
        <f t="shared" si="40"/>
        <v>10841</v>
      </c>
      <c r="AH152" s="55">
        <f t="shared" si="40"/>
        <v>6744</v>
      </c>
    </row>
    <row r="153" spans="1:34" ht="15.75" thickTop="1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109"/>
    </row>
    <row r="154" spans="1:34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</row>
    <row r="155" spans="1:34" ht="15.75" thickBot="1" x14ac:dyDescent="0.3"/>
    <row r="156" spans="1:34" ht="16.5" thickTop="1" thickBot="1" x14ac:dyDescent="0.3">
      <c r="A156" s="182" t="s">
        <v>0</v>
      </c>
      <c r="B156" s="178" t="s">
        <v>27</v>
      </c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  <c r="T156" s="178"/>
      <c r="U156" s="178"/>
      <c r="V156" s="178"/>
      <c r="W156" s="178"/>
      <c r="X156" s="178"/>
      <c r="Y156" s="178"/>
      <c r="Z156" s="178"/>
    </row>
    <row r="157" spans="1:34" ht="15.75" thickTop="1" x14ac:dyDescent="0.25">
      <c r="A157" s="183"/>
      <c r="B157" s="105">
        <v>1991</v>
      </c>
      <c r="C157" s="105">
        <v>1992</v>
      </c>
      <c r="D157" s="105">
        <v>1993</v>
      </c>
      <c r="E157" s="105">
        <v>1994</v>
      </c>
      <c r="F157" s="105">
        <v>1995</v>
      </c>
      <c r="G157" s="20">
        <v>1996</v>
      </c>
      <c r="H157" s="20">
        <v>1997</v>
      </c>
      <c r="I157" s="20">
        <v>1998</v>
      </c>
      <c r="J157" s="20">
        <v>1999</v>
      </c>
      <c r="K157" s="20">
        <v>2000</v>
      </c>
      <c r="L157" s="20">
        <v>2001</v>
      </c>
      <c r="M157" s="20">
        <v>2002</v>
      </c>
      <c r="N157" s="20">
        <v>2003</v>
      </c>
      <c r="O157" s="20">
        <v>2004</v>
      </c>
      <c r="P157" s="20">
        <v>2005</v>
      </c>
      <c r="Q157" s="20">
        <v>2006</v>
      </c>
      <c r="R157" s="20">
        <v>2007</v>
      </c>
      <c r="S157" s="20">
        <v>2008</v>
      </c>
      <c r="T157" s="20">
        <v>2009</v>
      </c>
      <c r="U157" s="20">
        <v>2010</v>
      </c>
      <c r="V157" s="20">
        <v>2011</v>
      </c>
      <c r="W157" s="20">
        <v>2012</v>
      </c>
      <c r="X157" s="20">
        <v>2013</v>
      </c>
      <c r="Y157" s="20">
        <v>2014</v>
      </c>
      <c r="Z157" s="20">
        <v>2015</v>
      </c>
      <c r="AA157" s="3">
        <v>2016</v>
      </c>
      <c r="AB157" s="3">
        <v>2017</v>
      </c>
      <c r="AC157" s="3">
        <v>2018</v>
      </c>
      <c r="AD157" s="3">
        <v>2019</v>
      </c>
      <c r="AE157" s="3">
        <v>2020</v>
      </c>
      <c r="AF157" s="3">
        <v>2021</v>
      </c>
      <c r="AG157" s="3">
        <v>2022</v>
      </c>
      <c r="AH157" s="3">
        <v>2023</v>
      </c>
    </row>
    <row r="158" spans="1:34" x14ac:dyDescent="0.25">
      <c r="A158" s="30" t="s">
        <v>1</v>
      </c>
      <c r="B158" s="4">
        <v>205</v>
      </c>
      <c r="C158" s="89">
        <v>223</v>
      </c>
      <c r="D158" s="89">
        <v>224</v>
      </c>
      <c r="E158" s="89">
        <v>258</v>
      </c>
      <c r="F158" s="89">
        <v>435</v>
      </c>
      <c r="G158" s="89">
        <v>701</v>
      </c>
      <c r="H158" s="4">
        <v>1267</v>
      </c>
      <c r="I158" s="4">
        <v>1153</v>
      </c>
      <c r="J158" s="4">
        <v>1537</v>
      </c>
      <c r="K158" s="4">
        <f>996+228</f>
        <v>1224</v>
      </c>
      <c r="L158" s="4">
        <f>894+147</f>
        <v>1041</v>
      </c>
      <c r="M158" s="4">
        <f>976+58</f>
        <v>1034</v>
      </c>
      <c r="N158" s="4">
        <f>1403+152</f>
        <v>1555</v>
      </c>
      <c r="O158" s="4">
        <v>1752</v>
      </c>
      <c r="P158" s="4">
        <v>1395</v>
      </c>
      <c r="Q158" s="4">
        <v>1456</v>
      </c>
      <c r="R158" s="4">
        <v>1011</v>
      </c>
      <c r="S158" s="4">
        <v>781</v>
      </c>
      <c r="T158" s="4">
        <v>653</v>
      </c>
      <c r="U158" s="4">
        <v>392</v>
      </c>
      <c r="V158" s="4">
        <v>361</v>
      </c>
      <c r="W158" s="4">
        <v>357</v>
      </c>
      <c r="X158" s="4">
        <v>762</v>
      </c>
      <c r="Y158" s="4">
        <v>1137</v>
      </c>
      <c r="Z158" s="110">
        <v>746</v>
      </c>
      <c r="AA158" s="46">
        <v>523</v>
      </c>
      <c r="AB158" s="46">
        <v>528</v>
      </c>
      <c r="AC158" s="46">
        <v>920</v>
      </c>
      <c r="AD158" s="46">
        <v>1090</v>
      </c>
      <c r="AE158" s="46">
        <v>993</v>
      </c>
      <c r="AF158" s="46">
        <v>154</v>
      </c>
      <c r="AG158" s="46">
        <v>409</v>
      </c>
      <c r="AH158" s="46">
        <v>703</v>
      </c>
    </row>
    <row r="159" spans="1:34" x14ac:dyDescent="0.25">
      <c r="A159" s="30" t="s">
        <v>2</v>
      </c>
      <c r="B159" s="4">
        <v>193</v>
      </c>
      <c r="C159" s="89">
        <v>233</v>
      </c>
      <c r="D159" s="89">
        <v>453</v>
      </c>
      <c r="E159" s="89">
        <v>343</v>
      </c>
      <c r="F159" s="89">
        <v>490</v>
      </c>
      <c r="G159" s="89">
        <v>711</v>
      </c>
      <c r="H159" s="4">
        <v>1325</v>
      </c>
      <c r="I159" s="4">
        <v>1148</v>
      </c>
      <c r="J159" s="4">
        <v>1427</v>
      </c>
      <c r="K159" s="4">
        <f>982+196</f>
        <v>1178</v>
      </c>
      <c r="L159" s="4">
        <f>967+119</f>
        <v>1086</v>
      </c>
      <c r="M159" s="4">
        <f>923+101</f>
        <v>1024</v>
      </c>
      <c r="N159" s="4">
        <f>1404+121</f>
        <v>1525</v>
      </c>
      <c r="O159" s="4">
        <v>1639</v>
      </c>
      <c r="P159" s="4">
        <v>1650</v>
      </c>
      <c r="Q159" s="4">
        <v>1250</v>
      </c>
      <c r="R159" s="4">
        <v>1053</v>
      </c>
      <c r="S159" s="4">
        <v>1061</v>
      </c>
      <c r="T159" s="4">
        <v>699</v>
      </c>
      <c r="U159" s="4">
        <v>503</v>
      </c>
      <c r="V159" s="4">
        <v>288</v>
      </c>
      <c r="W159" s="4">
        <v>321</v>
      </c>
      <c r="X159" s="4">
        <v>778</v>
      </c>
      <c r="Y159" s="4">
        <v>1038</v>
      </c>
      <c r="Z159" s="110">
        <v>620</v>
      </c>
      <c r="AA159" s="46">
        <v>428</v>
      </c>
      <c r="AB159" s="46">
        <v>679</v>
      </c>
      <c r="AC159" s="46">
        <v>1033</v>
      </c>
      <c r="AD159" s="46">
        <v>1113</v>
      </c>
      <c r="AE159" s="46">
        <v>991</v>
      </c>
      <c r="AF159" s="46">
        <v>197</v>
      </c>
      <c r="AG159" s="46">
        <v>513</v>
      </c>
      <c r="AH159" s="46">
        <v>671</v>
      </c>
    </row>
    <row r="160" spans="1:34" x14ac:dyDescent="0.25">
      <c r="A160" s="30" t="s">
        <v>3</v>
      </c>
      <c r="B160" s="4">
        <v>189</v>
      </c>
      <c r="C160" s="89">
        <v>283</v>
      </c>
      <c r="D160" s="89">
        <v>293</v>
      </c>
      <c r="E160" s="89">
        <v>315</v>
      </c>
      <c r="F160" s="89">
        <v>594</v>
      </c>
      <c r="G160" s="89">
        <v>1093</v>
      </c>
      <c r="H160" s="4">
        <v>1205</v>
      </c>
      <c r="I160" s="4">
        <v>1205</v>
      </c>
      <c r="J160" s="4">
        <v>1685</v>
      </c>
      <c r="K160" s="4">
        <f>1143+253</f>
        <v>1396</v>
      </c>
      <c r="L160" s="4">
        <f>894+117</f>
        <v>1011</v>
      </c>
      <c r="M160" s="4">
        <f>936+159</f>
        <v>1095</v>
      </c>
      <c r="N160" s="4">
        <v>1666</v>
      </c>
      <c r="O160" s="4">
        <v>2133</v>
      </c>
      <c r="P160" s="4">
        <v>1573</v>
      </c>
      <c r="Q160" s="4">
        <v>1356</v>
      </c>
      <c r="R160" s="4">
        <v>1098</v>
      </c>
      <c r="S160" s="4">
        <v>922</v>
      </c>
      <c r="T160" s="4">
        <v>794</v>
      </c>
      <c r="U160" s="4">
        <v>445</v>
      </c>
      <c r="V160" s="4">
        <v>349</v>
      </c>
      <c r="W160" s="4">
        <v>435</v>
      </c>
      <c r="X160" s="4">
        <v>865</v>
      </c>
      <c r="Y160" s="4">
        <v>891</v>
      </c>
      <c r="Z160" s="110">
        <v>414</v>
      </c>
      <c r="AA160" s="46">
        <v>476</v>
      </c>
      <c r="AB160" s="46">
        <v>640</v>
      </c>
      <c r="AC160" s="46">
        <v>835</v>
      </c>
      <c r="AD160" s="46">
        <v>872</v>
      </c>
      <c r="AE160" s="46">
        <v>366</v>
      </c>
      <c r="AF160" s="46">
        <v>283</v>
      </c>
      <c r="AG160" s="46">
        <v>396</v>
      </c>
      <c r="AH160" s="46">
        <v>684</v>
      </c>
    </row>
    <row r="161" spans="1:34" x14ac:dyDescent="0.25">
      <c r="A161" s="30" t="s">
        <v>16</v>
      </c>
      <c r="B161" s="4">
        <v>260</v>
      </c>
      <c r="C161" s="89">
        <v>252</v>
      </c>
      <c r="D161" s="89">
        <v>377</v>
      </c>
      <c r="E161" s="89">
        <v>278</v>
      </c>
      <c r="F161" s="89">
        <v>731</v>
      </c>
      <c r="G161" s="89">
        <v>964</v>
      </c>
      <c r="H161" s="4">
        <v>1162</v>
      </c>
      <c r="I161" s="4">
        <v>1274</v>
      </c>
      <c r="J161" s="4">
        <v>1355</v>
      </c>
      <c r="K161" s="4">
        <f>1121+158</f>
        <v>1279</v>
      </c>
      <c r="L161" s="4">
        <f>956+89</f>
        <v>1045</v>
      </c>
      <c r="M161" s="4">
        <f>914+149</f>
        <v>1063</v>
      </c>
      <c r="N161" s="4">
        <f>1346+225</f>
        <v>1571</v>
      </c>
      <c r="O161" s="4">
        <v>1770</v>
      </c>
      <c r="P161" s="4">
        <v>1699</v>
      </c>
      <c r="Q161" s="4">
        <v>1300</v>
      </c>
      <c r="R161" s="4">
        <v>827</v>
      </c>
      <c r="S161" s="4">
        <v>917</v>
      </c>
      <c r="T161" s="4">
        <v>674</v>
      </c>
      <c r="U161" s="4">
        <v>363</v>
      </c>
      <c r="V161" s="4">
        <v>427</v>
      </c>
      <c r="W161" s="4">
        <v>430</v>
      </c>
      <c r="X161" s="4">
        <f>706</f>
        <v>706</v>
      </c>
      <c r="Y161" s="4">
        <v>981</v>
      </c>
      <c r="Z161" s="4">
        <v>539</v>
      </c>
      <c r="AA161" s="46">
        <v>394</v>
      </c>
      <c r="AB161" s="46">
        <v>542</v>
      </c>
      <c r="AC161" s="46">
        <v>707</v>
      </c>
      <c r="AD161" s="46">
        <v>677</v>
      </c>
      <c r="AE161" s="46">
        <v>0</v>
      </c>
      <c r="AF161" s="46">
        <v>181</v>
      </c>
      <c r="AG161" s="46">
        <v>416</v>
      </c>
      <c r="AH161" s="46">
        <v>499</v>
      </c>
    </row>
    <row r="162" spans="1:34" x14ac:dyDescent="0.25">
      <c r="A162" s="30" t="s">
        <v>17</v>
      </c>
      <c r="B162" s="4">
        <v>302</v>
      </c>
      <c r="C162" s="89">
        <v>257</v>
      </c>
      <c r="D162" s="89">
        <v>291</v>
      </c>
      <c r="E162" s="89">
        <v>329</v>
      </c>
      <c r="F162" s="89">
        <v>647</v>
      </c>
      <c r="G162" s="89">
        <v>1156</v>
      </c>
      <c r="H162" s="4">
        <v>1404</v>
      </c>
      <c r="I162" s="4">
        <v>1541</v>
      </c>
      <c r="J162" s="4">
        <v>1322</v>
      </c>
      <c r="K162" s="4">
        <f>991+214</f>
        <v>1205</v>
      </c>
      <c r="L162" s="4">
        <f>989+84</f>
        <v>1073</v>
      </c>
      <c r="M162" s="4">
        <v>1029</v>
      </c>
      <c r="N162" s="4">
        <f>1425+292</f>
        <v>1717</v>
      </c>
      <c r="O162" s="4">
        <v>1865</v>
      </c>
      <c r="P162" s="4">
        <f>1464+218</f>
        <v>1682</v>
      </c>
      <c r="Q162" s="4">
        <v>1411</v>
      </c>
      <c r="R162" s="4">
        <v>1137</v>
      </c>
      <c r="S162" s="4">
        <v>923</v>
      </c>
      <c r="T162" s="4">
        <v>694</v>
      </c>
      <c r="U162" s="4">
        <v>527</v>
      </c>
      <c r="V162" s="4">
        <v>365</v>
      </c>
      <c r="W162" s="4">
        <v>472</v>
      </c>
      <c r="X162" s="4">
        <v>1126</v>
      </c>
      <c r="Y162" s="4">
        <v>908</v>
      </c>
      <c r="Z162" s="4">
        <v>525</v>
      </c>
      <c r="AA162" s="46">
        <v>511</v>
      </c>
      <c r="AB162" s="46">
        <v>635</v>
      </c>
      <c r="AC162" s="46">
        <v>980</v>
      </c>
      <c r="AD162" s="46">
        <v>827</v>
      </c>
      <c r="AE162" s="46">
        <v>0</v>
      </c>
      <c r="AF162" s="46">
        <v>264</v>
      </c>
      <c r="AG162" s="46">
        <v>667</v>
      </c>
      <c r="AH162" s="46">
        <v>580</v>
      </c>
    </row>
    <row r="163" spans="1:34" x14ac:dyDescent="0.25">
      <c r="A163" s="30" t="s">
        <v>18</v>
      </c>
      <c r="B163" s="4">
        <v>254</v>
      </c>
      <c r="C163" s="89">
        <v>210</v>
      </c>
      <c r="D163" s="89">
        <v>256</v>
      </c>
      <c r="E163" s="89">
        <v>408</v>
      </c>
      <c r="F163" s="89">
        <v>663</v>
      </c>
      <c r="G163" s="89">
        <v>1183</v>
      </c>
      <c r="H163" s="4">
        <v>1166</v>
      </c>
      <c r="I163" s="4">
        <v>1470</v>
      </c>
      <c r="J163" s="4">
        <v>1210</v>
      </c>
      <c r="K163" s="4">
        <f>1006+236</f>
        <v>1242</v>
      </c>
      <c r="L163" s="4">
        <v>1081</v>
      </c>
      <c r="M163" s="4">
        <v>1047</v>
      </c>
      <c r="N163" s="4">
        <f>1719+218</f>
        <v>1937</v>
      </c>
      <c r="O163" s="4">
        <v>1764</v>
      </c>
      <c r="P163" s="4">
        <v>1556</v>
      </c>
      <c r="Q163" s="4">
        <v>1281</v>
      </c>
      <c r="R163" s="4">
        <v>1000</v>
      </c>
      <c r="S163" s="4">
        <v>882</v>
      </c>
      <c r="T163" s="4">
        <v>847</v>
      </c>
      <c r="U163" s="4">
        <v>571</v>
      </c>
      <c r="V163" s="4">
        <v>386</v>
      </c>
      <c r="W163" s="4">
        <v>441</v>
      </c>
      <c r="X163" s="4">
        <f>994</f>
        <v>994</v>
      </c>
      <c r="Y163" s="4">
        <v>778</v>
      </c>
      <c r="Z163" s="4">
        <v>579</v>
      </c>
      <c r="AA163" s="46">
        <v>663</v>
      </c>
      <c r="AB163" s="46">
        <v>932</v>
      </c>
      <c r="AC163" s="46">
        <v>1154</v>
      </c>
      <c r="AD163" s="46">
        <v>1308</v>
      </c>
      <c r="AE163" s="46">
        <v>0</v>
      </c>
      <c r="AF163" s="46">
        <v>368</v>
      </c>
      <c r="AG163" s="46">
        <v>1010</v>
      </c>
      <c r="AH163" s="46">
        <v>1177</v>
      </c>
    </row>
    <row r="164" spans="1:34" x14ac:dyDescent="0.25">
      <c r="A164" s="30" t="s">
        <v>19</v>
      </c>
      <c r="B164" s="4">
        <v>292</v>
      </c>
      <c r="C164" s="89">
        <v>282</v>
      </c>
      <c r="D164" s="89">
        <v>247</v>
      </c>
      <c r="E164" s="89">
        <v>534</v>
      </c>
      <c r="F164" s="89">
        <v>637</v>
      </c>
      <c r="G164" s="89">
        <v>1266</v>
      </c>
      <c r="H164" s="4">
        <v>1238</v>
      </c>
      <c r="I164" s="4">
        <v>1371</v>
      </c>
      <c r="J164" s="4">
        <f>1011+380</f>
        <v>1391</v>
      </c>
      <c r="K164" s="4">
        <f>1078+218</f>
        <v>1296</v>
      </c>
      <c r="L164" s="4">
        <f>942+108</f>
        <v>1050</v>
      </c>
      <c r="M164" s="4">
        <v>1350</v>
      </c>
      <c r="N164" s="4">
        <f>1818+151</f>
        <v>1969</v>
      </c>
      <c r="O164" s="4">
        <v>1979</v>
      </c>
      <c r="P164" s="4">
        <v>1709</v>
      </c>
      <c r="Q164" s="4">
        <v>1326</v>
      </c>
      <c r="R164" s="4">
        <v>1006</v>
      </c>
      <c r="S164" s="4">
        <v>1016</v>
      </c>
      <c r="T164" s="4">
        <v>862</v>
      </c>
      <c r="U164" s="4">
        <v>539</v>
      </c>
      <c r="V164" s="4">
        <v>511</v>
      </c>
      <c r="W164" s="4">
        <v>630</v>
      </c>
      <c r="X164" s="4">
        <v>1313</v>
      </c>
      <c r="Y164" s="4">
        <v>1099</v>
      </c>
      <c r="Z164" s="4">
        <v>895</v>
      </c>
      <c r="AA164" s="46">
        <v>803</v>
      </c>
      <c r="AB164" s="46">
        <v>1080</v>
      </c>
      <c r="AC164" s="46">
        <v>1509</v>
      </c>
      <c r="AD164" s="46">
        <v>1393</v>
      </c>
      <c r="AE164" s="46">
        <v>3</v>
      </c>
      <c r="AF164" s="46">
        <v>500</v>
      </c>
      <c r="AG164" s="46">
        <v>1331</v>
      </c>
      <c r="AH164" s="46">
        <v>1296</v>
      </c>
    </row>
    <row r="165" spans="1:34" x14ac:dyDescent="0.25">
      <c r="A165" s="30" t="s">
        <v>20</v>
      </c>
      <c r="B165" s="4">
        <v>325</v>
      </c>
      <c r="C165" s="89">
        <v>228</v>
      </c>
      <c r="D165" s="89">
        <v>289</v>
      </c>
      <c r="E165" s="89">
        <v>531</v>
      </c>
      <c r="F165" s="89">
        <v>585</v>
      </c>
      <c r="G165" s="89">
        <v>1098</v>
      </c>
      <c r="H165" s="4">
        <v>1052</v>
      </c>
      <c r="I165" s="4">
        <v>1330</v>
      </c>
      <c r="J165" s="4">
        <f>881+273</f>
        <v>1154</v>
      </c>
      <c r="K165" s="4">
        <f>1028+200</f>
        <v>1228</v>
      </c>
      <c r="L165" s="4">
        <v>1090</v>
      </c>
      <c r="M165" s="4">
        <v>1904</v>
      </c>
      <c r="N165" s="4">
        <f>1731+183</f>
        <v>1914</v>
      </c>
      <c r="O165" s="4">
        <v>1917</v>
      </c>
      <c r="P165" s="4">
        <v>1487</v>
      </c>
      <c r="Q165" s="4">
        <v>1446</v>
      </c>
      <c r="R165" s="4">
        <v>1070</v>
      </c>
      <c r="S165" s="4">
        <v>1005</v>
      </c>
      <c r="T165" s="4">
        <v>643</v>
      </c>
      <c r="U165" s="4">
        <v>611</v>
      </c>
      <c r="V165" s="4">
        <v>506</v>
      </c>
      <c r="W165" s="4">
        <v>588</v>
      </c>
      <c r="X165" s="4">
        <f>1313</f>
        <v>1313</v>
      </c>
      <c r="Y165" s="4">
        <v>1029</v>
      </c>
      <c r="Z165" s="4">
        <v>667</v>
      </c>
      <c r="AA165" s="46">
        <v>778</v>
      </c>
      <c r="AB165" s="46">
        <v>919</v>
      </c>
      <c r="AC165" s="46">
        <v>1253</v>
      </c>
      <c r="AD165" s="46">
        <v>1375</v>
      </c>
      <c r="AE165" s="46">
        <v>32</v>
      </c>
      <c r="AF165" s="46">
        <v>548</v>
      </c>
      <c r="AG165" s="46">
        <v>1324</v>
      </c>
      <c r="AH165" s="46"/>
    </row>
    <row r="166" spans="1:34" x14ac:dyDescent="0.25">
      <c r="A166" s="30" t="s">
        <v>9</v>
      </c>
      <c r="B166" s="4">
        <v>126</v>
      </c>
      <c r="C166" s="89">
        <v>222</v>
      </c>
      <c r="D166" s="89">
        <v>225</v>
      </c>
      <c r="E166" s="89">
        <v>466</v>
      </c>
      <c r="F166" s="89">
        <v>582</v>
      </c>
      <c r="G166" s="89">
        <v>1166</v>
      </c>
      <c r="H166" s="4">
        <v>1107</v>
      </c>
      <c r="I166" s="4">
        <v>1313</v>
      </c>
      <c r="J166" s="4">
        <f>950+257</f>
        <v>1207</v>
      </c>
      <c r="K166" s="4">
        <f>999+236</f>
        <v>1235</v>
      </c>
      <c r="L166" s="4">
        <v>1160</v>
      </c>
      <c r="M166" s="4">
        <v>1804</v>
      </c>
      <c r="N166" s="4">
        <f>1826+242</f>
        <v>2068</v>
      </c>
      <c r="O166" s="4">
        <v>1709</v>
      </c>
      <c r="P166" s="4">
        <v>1692</v>
      </c>
      <c r="Q166" s="4">
        <v>1341</v>
      </c>
      <c r="R166" s="4">
        <v>1018</v>
      </c>
      <c r="S166" s="4">
        <v>940</v>
      </c>
      <c r="T166" s="4">
        <v>680</v>
      </c>
      <c r="U166" s="4">
        <v>438</v>
      </c>
      <c r="V166" s="4">
        <v>374</v>
      </c>
      <c r="W166" s="4">
        <v>606</v>
      </c>
      <c r="X166" s="4">
        <v>1198</v>
      </c>
      <c r="Y166" s="4">
        <v>754</v>
      </c>
      <c r="Z166" s="111">
        <v>545</v>
      </c>
      <c r="AA166" s="46">
        <v>666</v>
      </c>
      <c r="AB166" s="46">
        <v>828</v>
      </c>
      <c r="AC166" s="46">
        <v>1298</v>
      </c>
      <c r="AD166" s="46">
        <v>1232</v>
      </c>
      <c r="AE166" s="46">
        <v>36</v>
      </c>
      <c r="AF166" s="46">
        <v>544</v>
      </c>
      <c r="AG166" s="46">
        <v>1227</v>
      </c>
      <c r="AH166" s="46"/>
    </row>
    <row r="167" spans="1:34" x14ac:dyDescent="0.25">
      <c r="A167" s="30" t="s">
        <v>10</v>
      </c>
      <c r="B167" s="4">
        <v>198</v>
      </c>
      <c r="C167" s="89">
        <v>253</v>
      </c>
      <c r="D167" s="89">
        <v>249</v>
      </c>
      <c r="E167" s="89">
        <v>536</v>
      </c>
      <c r="F167" s="89">
        <v>651</v>
      </c>
      <c r="G167" s="89">
        <v>1571</v>
      </c>
      <c r="H167" s="4">
        <v>1310</v>
      </c>
      <c r="I167" s="4">
        <v>1381</v>
      </c>
      <c r="J167" s="4">
        <f>943+254</f>
        <v>1197</v>
      </c>
      <c r="K167" s="4">
        <f>160+1036</f>
        <v>1196</v>
      </c>
      <c r="L167" s="4">
        <v>1209</v>
      </c>
      <c r="M167" s="4">
        <v>1952</v>
      </c>
      <c r="N167" s="4">
        <f>1668+204</f>
        <v>1872</v>
      </c>
      <c r="O167" s="4">
        <v>1631</v>
      </c>
      <c r="P167" s="4">
        <v>1637</v>
      </c>
      <c r="Q167" s="4">
        <v>1261</v>
      </c>
      <c r="R167" s="4">
        <v>1223</v>
      </c>
      <c r="S167" s="4">
        <v>841</v>
      </c>
      <c r="T167" s="4">
        <v>1085</v>
      </c>
      <c r="U167" s="4">
        <v>504</v>
      </c>
      <c r="V167" s="4">
        <v>335</v>
      </c>
      <c r="W167" s="4">
        <v>735</v>
      </c>
      <c r="X167" s="4">
        <v>1244</v>
      </c>
      <c r="Y167" s="4">
        <v>664</v>
      </c>
      <c r="Z167" s="4">
        <v>568</v>
      </c>
      <c r="AA167" s="46">
        <v>597</v>
      </c>
      <c r="AB167" s="46">
        <v>924</v>
      </c>
      <c r="AC167" s="46">
        <v>1269</v>
      </c>
      <c r="AD167" s="46">
        <v>1117</v>
      </c>
      <c r="AE167" s="46">
        <v>74</v>
      </c>
      <c r="AF167" s="46">
        <v>443</v>
      </c>
      <c r="AG167" s="46">
        <v>789</v>
      </c>
      <c r="AH167" s="46"/>
    </row>
    <row r="168" spans="1:34" x14ac:dyDescent="0.25">
      <c r="A168" s="30" t="s">
        <v>11</v>
      </c>
      <c r="B168" s="4">
        <v>179</v>
      </c>
      <c r="C168" s="89">
        <v>198</v>
      </c>
      <c r="D168" s="89">
        <v>267</v>
      </c>
      <c r="E168" s="89">
        <v>533</v>
      </c>
      <c r="F168" s="89">
        <v>769</v>
      </c>
      <c r="G168" s="89">
        <v>1466</v>
      </c>
      <c r="H168" s="4">
        <v>1236</v>
      </c>
      <c r="I168" s="4">
        <v>1355</v>
      </c>
      <c r="J168" s="4">
        <f>1008+257</f>
        <v>1265</v>
      </c>
      <c r="K168" s="4">
        <v>1058</v>
      </c>
      <c r="L168" s="4">
        <v>1188</v>
      </c>
      <c r="M168" s="4">
        <v>1819</v>
      </c>
      <c r="N168" s="4">
        <f>1809+144</f>
        <v>1953</v>
      </c>
      <c r="O168" s="4">
        <v>1650</v>
      </c>
      <c r="P168" s="4">
        <v>1575</v>
      </c>
      <c r="Q168" s="4">
        <v>1299</v>
      </c>
      <c r="R168" s="4">
        <v>877</v>
      </c>
      <c r="S168" s="4">
        <v>743</v>
      </c>
      <c r="T168" s="4">
        <v>622</v>
      </c>
      <c r="U168" s="4">
        <v>607</v>
      </c>
      <c r="V168" s="4">
        <v>387</v>
      </c>
      <c r="W168" s="4">
        <v>718</v>
      </c>
      <c r="X168" s="4">
        <v>1153</v>
      </c>
      <c r="Y168" s="4">
        <v>641</v>
      </c>
      <c r="Z168" s="36">
        <v>612</v>
      </c>
      <c r="AA168" s="46">
        <v>516</v>
      </c>
      <c r="AB168" s="46">
        <v>681</v>
      </c>
      <c r="AC168" s="46">
        <v>920</v>
      </c>
      <c r="AD168" s="46">
        <v>904</v>
      </c>
      <c r="AE168" s="46">
        <v>141</v>
      </c>
      <c r="AF168" s="46">
        <v>393</v>
      </c>
      <c r="AG168" s="46">
        <v>550</v>
      </c>
      <c r="AH168" s="46"/>
    </row>
    <row r="169" spans="1:34" x14ac:dyDescent="0.25">
      <c r="A169" s="30" t="s">
        <v>12</v>
      </c>
      <c r="B169" s="4">
        <v>212</v>
      </c>
      <c r="C169" s="89">
        <v>269</v>
      </c>
      <c r="D169" s="89">
        <v>224</v>
      </c>
      <c r="E169" s="89">
        <v>519</v>
      </c>
      <c r="F169" s="89">
        <v>575</v>
      </c>
      <c r="G169" s="89">
        <v>1416</v>
      </c>
      <c r="H169" s="4">
        <v>1322</v>
      </c>
      <c r="I169" s="4">
        <v>1628</v>
      </c>
      <c r="J169" s="4">
        <f>951+223</f>
        <v>1174</v>
      </c>
      <c r="K169" s="4">
        <v>1101</v>
      </c>
      <c r="L169" s="4">
        <v>1071</v>
      </c>
      <c r="M169" s="4">
        <f>1594+183</f>
        <v>1777</v>
      </c>
      <c r="N169" s="4">
        <f>1896+144</f>
        <v>2040</v>
      </c>
      <c r="O169" s="4">
        <v>1628</v>
      </c>
      <c r="P169" s="4">
        <v>1432</v>
      </c>
      <c r="Q169" s="4">
        <v>1084</v>
      </c>
      <c r="R169" s="4">
        <v>876</v>
      </c>
      <c r="S169" s="4">
        <v>836</v>
      </c>
      <c r="T169" s="4">
        <v>468</v>
      </c>
      <c r="U169" s="4">
        <v>375</v>
      </c>
      <c r="V169" s="4">
        <v>387</v>
      </c>
      <c r="W169" s="4">
        <v>857</v>
      </c>
      <c r="X169" s="4">
        <v>940</v>
      </c>
      <c r="Y169" s="4">
        <v>705</v>
      </c>
      <c r="Z169" s="36">
        <v>590</v>
      </c>
      <c r="AA169" s="46">
        <v>461</v>
      </c>
      <c r="AB169" s="46">
        <v>897</v>
      </c>
      <c r="AC169" s="46">
        <v>1104</v>
      </c>
      <c r="AD169" s="46">
        <v>968</v>
      </c>
      <c r="AE169" s="46">
        <v>117</v>
      </c>
      <c r="AF169" s="46">
        <v>255</v>
      </c>
      <c r="AG169" s="46">
        <v>882</v>
      </c>
      <c r="AH169" s="46"/>
    </row>
    <row r="170" spans="1:34" ht="15.75" thickBot="1" x14ac:dyDescent="0.3">
      <c r="A170" s="52" t="s">
        <v>13</v>
      </c>
      <c r="B170" s="20">
        <f t="shared" ref="B170:Q170" si="41">SUM(B158:B169)</f>
        <v>2735</v>
      </c>
      <c r="C170" s="20">
        <f t="shared" si="41"/>
        <v>2910</v>
      </c>
      <c r="D170" s="20">
        <f t="shared" si="41"/>
        <v>3395</v>
      </c>
      <c r="E170" s="20">
        <f t="shared" si="41"/>
        <v>5050</v>
      </c>
      <c r="F170" s="20">
        <f t="shared" si="41"/>
        <v>7359</v>
      </c>
      <c r="G170" s="20">
        <f t="shared" si="41"/>
        <v>13791</v>
      </c>
      <c r="H170" s="20">
        <f t="shared" si="41"/>
        <v>14794</v>
      </c>
      <c r="I170" s="20">
        <f t="shared" si="41"/>
        <v>16169</v>
      </c>
      <c r="J170" s="20">
        <f t="shared" si="41"/>
        <v>15924</v>
      </c>
      <c r="K170" s="20">
        <f t="shared" si="41"/>
        <v>14638</v>
      </c>
      <c r="L170" s="20">
        <f t="shared" si="41"/>
        <v>13105</v>
      </c>
      <c r="M170" s="20">
        <f t="shared" si="41"/>
        <v>16898</v>
      </c>
      <c r="N170" s="20">
        <f t="shared" si="41"/>
        <v>21787</v>
      </c>
      <c r="O170" s="20">
        <f t="shared" si="41"/>
        <v>21437</v>
      </c>
      <c r="P170" s="20">
        <f t="shared" si="41"/>
        <v>19087</v>
      </c>
      <c r="Q170" s="20">
        <f t="shared" si="41"/>
        <v>15811</v>
      </c>
      <c r="R170" s="20">
        <f t="shared" ref="R170:Z170" si="42">SUM(R158:R169)</f>
        <v>12196</v>
      </c>
      <c r="S170" s="20">
        <f t="shared" si="42"/>
        <v>10867</v>
      </c>
      <c r="T170" s="20">
        <f t="shared" si="42"/>
        <v>8721</v>
      </c>
      <c r="U170" s="20">
        <f t="shared" si="42"/>
        <v>5875</v>
      </c>
      <c r="V170" s="20">
        <f t="shared" si="42"/>
        <v>4676</v>
      </c>
      <c r="W170" s="20">
        <f t="shared" si="42"/>
        <v>6590</v>
      </c>
      <c r="X170" s="20">
        <f t="shared" si="42"/>
        <v>12392</v>
      </c>
      <c r="Y170" s="20">
        <f t="shared" si="42"/>
        <v>10625</v>
      </c>
      <c r="Z170" s="20">
        <f t="shared" si="42"/>
        <v>7300</v>
      </c>
      <c r="AA170" s="55">
        <f t="shared" ref="AA170:AH170" si="43">SUM(AA158:AA169)</f>
        <v>6816</v>
      </c>
      <c r="AB170" s="55">
        <f t="shared" si="43"/>
        <v>9285</v>
      </c>
      <c r="AC170" s="55">
        <f t="shared" si="43"/>
        <v>12982</v>
      </c>
      <c r="AD170" s="55">
        <f t="shared" si="43"/>
        <v>12876</v>
      </c>
      <c r="AE170" s="55">
        <f t="shared" si="43"/>
        <v>2753</v>
      </c>
      <c r="AF170" s="55">
        <f t="shared" si="43"/>
        <v>4130</v>
      </c>
      <c r="AG170" s="55">
        <f t="shared" si="43"/>
        <v>9514</v>
      </c>
      <c r="AH170" s="55">
        <f t="shared" si="43"/>
        <v>5610</v>
      </c>
    </row>
    <row r="171" spans="1:34" ht="15.75" thickTop="1" x14ac:dyDescent="0.25">
      <c r="A171" s="2" t="s">
        <v>33</v>
      </c>
      <c r="B171" s="25"/>
      <c r="C171" s="112"/>
      <c r="D171" s="113">
        <f>(D170/C170-1)*100</f>
        <v>16.666666666666675</v>
      </c>
      <c r="E171" s="113">
        <f t="shared" ref="E171:X171" si="44">(E170/D170-1)*100</f>
        <v>48.748159057437412</v>
      </c>
      <c r="F171" s="113">
        <f t="shared" si="44"/>
        <v>45.722772277227719</v>
      </c>
      <c r="G171" s="113">
        <f t="shared" si="44"/>
        <v>87.403179779861389</v>
      </c>
      <c r="H171" s="113">
        <f t="shared" si="44"/>
        <v>7.2728591110144292</v>
      </c>
      <c r="I171" s="113">
        <f t="shared" si="44"/>
        <v>9.2943085034473469</v>
      </c>
      <c r="J171" s="113">
        <f t="shared" si="44"/>
        <v>-1.5152452223390456</v>
      </c>
      <c r="K171" s="113">
        <f t="shared" si="44"/>
        <v>-8.07586033659884</v>
      </c>
      <c r="L171" s="113">
        <f t="shared" si="44"/>
        <v>-10.472742177893156</v>
      </c>
      <c r="M171" s="113">
        <f t="shared" si="44"/>
        <v>28.943151468905004</v>
      </c>
      <c r="N171" s="113">
        <f t="shared" si="44"/>
        <v>28.932418037637596</v>
      </c>
      <c r="O171" s="113">
        <f t="shared" si="44"/>
        <v>-1.6064625694221291</v>
      </c>
      <c r="P171" s="113">
        <f t="shared" si="44"/>
        <v>-10.962354807109209</v>
      </c>
      <c r="Q171" s="113">
        <f t="shared" si="44"/>
        <v>-17.163514433907899</v>
      </c>
      <c r="R171" s="113">
        <f t="shared" si="44"/>
        <v>-22.863828979824174</v>
      </c>
      <c r="S171" s="113">
        <f t="shared" si="44"/>
        <v>-10.897015414890133</v>
      </c>
      <c r="T171" s="113">
        <f t="shared" si="44"/>
        <v>-19.747860495076843</v>
      </c>
      <c r="U171" s="113">
        <f t="shared" si="44"/>
        <v>-32.633872262355233</v>
      </c>
      <c r="V171" s="113">
        <f t="shared" si="44"/>
        <v>-20.408510638297873</v>
      </c>
      <c r="W171" s="113">
        <f t="shared" si="44"/>
        <v>40.932420872540632</v>
      </c>
      <c r="X171" s="113">
        <f t="shared" si="44"/>
        <v>88.042488619119879</v>
      </c>
      <c r="Y171" s="113">
        <f t="shared" ref="Y171:AE171" si="45">(Y170/X170-1)*100</f>
        <v>-14.259199483537765</v>
      </c>
      <c r="Z171" s="113">
        <f t="shared" si="45"/>
        <v>-31.294117647058826</v>
      </c>
      <c r="AA171" s="113">
        <f t="shared" si="45"/>
        <v>-6.6301369863013715</v>
      </c>
      <c r="AB171" s="113">
        <f t="shared" si="45"/>
        <v>36.223591549295776</v>
      </c>
      <c r="AC171" s="113">
        <f t="shared" si="45"/>
        <v>39.816908992999458</v>
      </c>
      <c r="AD171" s="113">
        <f t="shared" si="45"/>
        <v>-0.81651517485749059</v>
      </c>
      <c r="AE171" s="113">
        <f t="shared" si="45"/>
        <v>-78.619136377757073</v>
      </c>
      <c r="AF171" s="113">
        <f>(AF170/AE170-1)*100</f>
        <v>50.018162005085351</v>
      </c>
      <c r="AG171" s="113">
        <f>(AG170/AF170-1)*100</f>
        <v>130.36319612590802</v>
      </c>
      <c r="AH171" s="113">
        <f>(AH170/AG170-1)*100</f>
        <v>-41.034265293252048</v>
      </c>
    </row>
    <row r="172" spans="1:34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</row>
    <row r="175" spans="1:34" ht="18" x14ac:dyDescent="0.25">
      <c r="A175" s="163" t="s">
        <v>34</v>
      </c>
      <c r="B175" s="163"/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</row>
    <row r="176" spans="1:34" ht="18" x14ac:dyDescent="0.25">
      <c r="A176" s="163" t="s">
        <v>35</v>
      </c>
      <c r="B176" s="163"/>
      <c r="C176" s="163"/>
      <c r="D176" s="163"/>
      <c r="E176" s="163"/>
      <c r="F176" s="163"/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</row>
    <row r="177" spans="1:34" ht="16.5" thickBot="1" x14ac:dyDescent="0.3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</row>
    <row r="178" spans="1:34" ht="16.5" thickTop="1" x14ac:dyDescent="0.25">
      <c r="A178" s="114" t="s">
        <v>0</v>
      </c>
      <c r="B178" s="26">
        <v>1991</v>
      </c>
      <c r="C178" s="26">
        <v>1992</v>
      </c>
      <c r="D178" s="26">
        <v>1993</v>
      </c>
      <c r="E178" s="26">
        <v>1994</v>
      </c>
      <c r="F178" s="26">
        <v>1995</v>
      </c>
      <c r="G178" s="26">
        <v>1996</v>
      </c>
      <c r="H178" s="26">
        <v>1997</v>
      </c>
      <c r="I178" s="26">
        <v>1998</v>
      </c>
      <c r="J178" s="26">
        <v>1999</v>
      </c>
      <c r="K178" s="26">
        <v>2000</v>
      </c>
      <c r="L178" s="27">
        <v>2001</v>
      </c>
      <c r="M178" s="26">
        <v>2002</v>
      </c>
      <c r="N178" s="27">
        <v>2003</v>
      </c>
      <c r="O178" s="26">
        <v>2004</v>
      </c>
      <c r="P178" s="26">
        <v>2005</v>
      </c>
      <c r="Q178" s="27">
        <v>2006</v>
      </c>
      <c r="R178" s="27">
        <v>2007</v>
      </c>
      <c r="S178" s="27">
        <v>2008</v>
      </c>
      <c r="T178" s="26">
        <v>2009</v>
      </c>
      <c r="U178" s="26">
        <v>2010</v>
      </c>
      <c r="V178" s="27">
        <v>2011</v>
      </c>
      <c r="W178" s="27">
        <v>2012</v>
      </c>
      <c r="X178" s="27">
        <v>2013</v>
      </c>
      <c r="Y178" s="13">
        <v>2014</v>
      </c>
      <c r="Z178" s="13">
        <v>2015</v>
      </c>
      <c r="AA178" s="13">
        <v>2016</v>
      </c>
      <c r="AB178" s="13">
        <v>2017</v>
      </c>
      <c r="AC178" s="13">
        <v>2018</v>
      </c>
      <c r="AD178" s="13">
        <v>2019</v>
      </c>
      <c r="AE178" s="61">
        <v>2020</v>
      </c>
      <c r="AF178" s="61">
        <v>2021</v>
      </c>
      <c r="AG178" s="61">
        <v>2022</v>
      </c>
      <c r="AH178" s="61">
        <v>2023</v>
      </c>
    </row>
    <row r="179" spans="1:34" ht="15.75" x14ac:dyDescent="0.25">
      <c r="A179" s="60" t="s">
        <v>1</v>
      </c>
      <c r="B179" s="29">
        <v>2212</v>
      </c>
      <c r="C179" s="29">
        <v>2831</v>
      </c>
      <c r="D179" s="29">
        <v>3600</v>
      </c>
      <c r="E179" s="29">
        <v>6437</v>
      </c>
      <c r="F179" s="29">
        <v>3075</v>
      </c>
      <c r="G179" s="29">
        <v>4554</v>
      </c>
      <c r="H179" s="29">
        <v>5237</v>
      </c>
      <c r="I179" s="29">
        <v>6226</v>
      </c>
      <c r="J179" s="29">
        <v>6710</v>
      </c>
      <c r="K179" s="29">
        <f>4812+2</f>
        <v>4814</v>
      </c>
      <c r="L179" s="28">
        <f>3442+47</f>
        <v>3489</v>
      </c>
      <c r="M179" s="28">
        <f>1832+80</f>
        <v>1912</v>
      </c>
      <c r="N179" s="28">
        <v>2134</v>
      </c>
      <c r="O179" s="29">
        <v>1617</v>
      </c>
      <c r="P179" s="29">
        <v>2230</v>
      </c>
      <c r="Q179" s="28">
        <v>3576</v>
      </c>
      <c r="R179" s="28">
        <v>3392</v>
      </c>
      <c r="S179" s="28">
        <v>3191</v>
      </c>
      <c r="T179" s="29">
        <v>2689</v>
      </c>
      <c r="U179" s="29">
        <v>5493</v>
      </c>
      <c r="V179" s="28">
        <v>7098</v>
      </c>
      <c r="W179" s="28">
        <v>6636</v>
      </c>
      <c r="X179" s="28">
        <v>7446</v>
      </c>
      <c r="Y179" s="29">
        <v>6968</v>
      </c>
      <c r="Z179" s="29">
        <v>9761</v>
      </c>
      <c r="AA179" s="29">
        <v>10670</v>
      </c>
      <c r="AB179" s="29">
        <v>8462</v>
      </c>
      <c r="AC179" s="29">
        <v>10102</v>
      </c>
      <c r="AD179" s="29">
        <v>14129</v>
      </c>
      <c r="AE179" s="12">
        <v>15597</v>
      </c>
      <c r="AF179" s="12">
        <v>4279</v>
      </c>
      <c r="AG179" s="12">
        <v>6741</v>
      </c>
      <c r="AH179" s="12">
        <v>10705</v>
      </c>
    </row>
    <row r="180" spans="1:34" ht="15.75" x14ac:dyDescent="0.25">
      <c r="A180" s="60" t="s">
        <v>2</v>
      </c>
      <c r="B180" s="29">
        <v>1861</v>
      </c>
      <c r="C180" s="29">
        <v>2291</v>
      </c>
      <c r="D180" s="29">
        <v>2279</v>
      </c>
      <c r="E180" s="29">
        <v>3421</v>
      </c>
      <c r="F180" s="29">
        <v>3646</v>
      </c>
      <c r="G180" s="29">
        <v>3053</v>
      </c>
      <c r="H180" s="29">
        <v>3511</v>
      </c>
      <c r="I180" s="29">
        <v>5386</v>
      </c>
      <c r="J180" s="29">
        <v>5875</v>
      </c>
      <c r="K180" s="29">
        <f>5578+49</f>
        <v>5627</v>
      </c>
      <c r="L180" s="28">
        <f>4411+32</f>
        <v>4443</v>
      </c>
      <c r="M180" s="28">
        <f>959+216</f>
        <v>1175</v>
      </c>
      <c r="N180" s="28">
        <v>2024</v>
      </c>
      <c r="O180" s="29">
        <v>1916</v>
      </c>
      <c r="P180" s="29">
        <v>1573</v>
      </c>
      <c r="Q180" s="28">
        <v>3337</v>
      </c>
      <c r="R180" s="28">
        <v>2939</v>
      </c>
      <c r="S180" s="28">
        <v>2687</v>
      </c>
      <c r="T180" s="29">
        <v>3668</v>
      </c>
      <c r="U180" s="29">
        <v>4726</v>
      </c>
      <c r="V180" s="28">
        <v>5244</v>
      </c>
      <c r="W180" s="28">
        <v>7303</v>
      </c>
      <c r="X180" s="28">
        <v>6665</v>
      </c>
      <c r="Y180" s="29">
        <v>5406</v>
      </c>
      <c r="Z180" s="29">
        <v>7599</v>
      </c>
      <c r="AA180" s="29">
        <v>10873</v>
      </c>
      <c r="AB180" s="29">
        <v>7701</v>
      </c>
      <c r="AC180" s="29">
        <v>8941</v>
      </c>
      <c r="AD180" s="29">
        <v>11814</v>
      </c>
      <c r="AE180" s="12">
        <v>13946</v>
      </c>
      <c r="AF180" s="12">
        <v>3448</v>
      </c>
      <c r="AG180" s="12">
        <v>5540</v>
      </c>
      <c r="AH180" s="12">
        <v>9632</v>
      </c>
    </row>
    <row r="181" spans="1:34" ht="15.75" x14ac:dyDescent="0.25">
      <c r="A181" s="60" t="s">
        <v>3</v>
      </c>
      <c r="B181" s="29">
        <v>2076</v>
      </c>
      <c r="C181" s="29">
        <v>1825</v>
      </c>
      <c r="D181" s="29">
        <v>2235</v>
      </c>
      <c r="E181" s="29">
        <v>3656</v>
      </c>
      <c r="F181" s="29">
        <v>3882</v>
      </c>
      <c r="G181" s="29">
        <v>3214</v>
      </c>
      <c r="H181" s="29">
        <v>3696</v>
      </c>
      <c r="I181" s="29">
        <v>5607</v>
      </c>
      <c r="J181" s="29">
        <v>6174</v>
      </c>
      <c r="K181" s="29">
        <f>125+4023</f>
        <v>4148</v>
      </c>
      <c r="L181" s="28">
        <f>4507+60</f>
        <v>4567</v>
      </c>
      <c r="M181" s="28">
        <f>1056+146</f>
        <v>1202</v>
      </c>
      <c r="N181" s="28">
        <v>1510</v>
      </c>
      <c r="O181" s="29">
        <v>1885</v>
      </c>
      <c r="P181" s="29">
        <v>2059</v>
      </c>
      <c r="Q181" s="28">
        <v>3606</v>
      </c>
      <c r="R181" s="28">
        <v>5175</v>
      </c>
      <c r="S181" s="28">
        <v>3016</v>
      </c>
      <c r="T181" s="29">
        <v>7992</v>
      </c>
      <c r="U181" s="29">
        <v>4718</v>
      </c>
      <c r="V181" s="28">
        <v>5770</v>
      </c>
      <c r="W181" s="28">
        <v>6952</v>
      </c>
      <c r="X181" s="28">
        <v>7809</v>
      </c>
      <c r="Y181" s="29">
        <v>6771</v>
      </c>
      <c r="Z181" s="29">
        <v>10415</v>
      </c>
      <c r="AA181" s="29">
        <v>11459</v>
      </c>
      <c r="AB181" s="29">
        <v>9127</v>
      </c>
      <c r="AC181" s="29">
        <v>10100</v>
      </c>
      <c r="AD181" s="29">
        <v>14656</v>
      </c>
      <c r="AE181" s="12">
        <v>8283</v>
      </c>
      <c r="AF181" s="12">
        <v>4329</v>
      </c>
      <c r="AG181" s="12">
        <v>6700</v>
      </c>
      <c r="AH181" s="12">
        <v>7241</v>
      </c>
    </row>
    <row r="182" spans="1:34" ht="15.75" x14ac:dyDescent="0.25">
      <c r="A182" s="60" t="s">
        <v>16</v>
      </c>
      <c r="B182" s="29">
        <v>2429</v>
      </c>
      <c r="C182" s="29">
        <v>2198</v>
      </c>
      <c r="D182" s="29">
        <v>2900</v>
      </c>
      <c r="E182" s="29">
        <v>3664</v>
      </c>
      <c r="F182" s="29">
        <v>3722</v>
      </c>
      <c r="G182" s="29">
        <v>3879</v>
      </c>
      <c r="H182" s="29">
        <v>4461</v>
      </c>
      <c r="I182" s="29">
        <v>6228</v>
      </c>
      <c r="J182" s="29">
        <v>4142</v>
      </c>
      <c r="K182" s="29">
        <f>55+4106</f>
        <v>4161</v>
      </c>
      <c r="L182" s="28">
        <f>3649+23</f>
        <v>3672</v>
      </c>
      <c r="M182" s="28">
        <v>906</v>
      </c>
      <c r="N182" s="28">
        <v>1577</v>
      </c>
      <c r="O182" s="29">
        <v>1971</v>
      </c>
      <c r="P182" s="29">
        <v>1882</v>
      </c>
      <c r="Q182" s="28">
        <v>3276</v>
      </c>
      <c r="R182" s="28">
        <v>3226</v>
      </c>
      <c r="S182" s="28">
        <v>2678</v>
      </c>
      <c r="T182" s="29">
        <v>2943</v>
      </c>
      <c r="U182" s="29">
        <v>5310</v>
      </c>
      <c r="V182" s="28">
        <v>6933</v>
      </c>
      <c r="W182" s="28">
        <v>6055</v>
      </c>
      <c r="X182" s="28">
        <v>6491</v>
      </c>
      <c r="Y182" s="29">
        <v>6658</v>
      </c>
      <c r="Z182" s="29">
        <v>8866</v>
      </c>
      <c r="AA182" s="29">
        <v>9780</v>
      </c>
      <c r="AB182" s="29">
        <v>9549</v>
      </c>
      <c r="AC182" s="29">
        <v>9325</v>
      </c>
      <c r="AD182" s="29">
        <v>13102</v>
      </c>
      <c r="AE182" s="12">
        <v>116</v>
      </c>
      <c r="AF182" s="12">
        <v>4269</v>
      </c>
      <c r="AG182" s="12">
        <v>6780</v>
      </c>
      <c r="AH182" s="12">
        <v>8571</v>
      </c>
    </row>
    <row r="183" spans="1:34" ht="15.75" x14ac:dyDescent="0.25">
      <c r="A183" s="60" t="s">
        <v>17</v>
      </c>
      <c r="B183" s="29">
        <v>2048</v>
      </c>
      <c r="C183" s="29">
        <v>2475</v>
      </c>
      <c r="D183" s="29">
        <v>2825</v>
      </c>
      <c r="E183" s="29">
        <v>3693</v>
      </c>
      <c r="F183" s="29">
        <v>2772</v>
      </c>
      <c r="G183" s="29">
        <v>3804</v>
      </c>
      <c r="H183" s="29">
        <v>4375</v>
      </c>
      <c r="I183" s="29">
        <v>5491</v>
      </c>
      <c r="J183" s="29">
        <v>6174</v>
      </c>
      <c r="K183" s="29">
        <f>4197+184</f>
        <v>4381</v>
      </c>
      <c r="L183" s="28">
        <f>2950+11</f>
        <v>2961</v>
      </c>
      <c r="M183" s="28">
        <v>1228</v>
      </c>
      <c r="N183" s="28">
        <v>3918</v>
      </c>
      <c r="O183" s="29">
        <v>1387</v>
      </c>
      <c r="P183" s="29">
        <v>1493</v>
      </c>
      <c r="Q183" s="28">
        <v>2894</v>
      </c>
      <c r="R183" s="28">
        <v>2358</v>
      </c>
      <c r="S183" s="28">
        <v>3115</v>
      </c>
      <c r="T183" s="29">
        <v>3224</v>
      </c>
      <c r="U183" s="29">
        <v>5009</v>
      </c>
      <c r="V183" s="28">
        <v>5817</v>
      </c>
      <c r="W183" s="28">
        <v>7006</v>
      </c>
      <c r="X183" s="28">
        <v>7538</v>
      </c>
      <c r="Y183" s="29">
        <v>9160</v>
      </c>
      <c r="Z183" s="29">
        <v>10407</v>
      </c>
      <c r="AA183" s="29">
        <v>12322</v>
      </c>
      <c r="AB183" s="29">
        <v>11038</v>
      </c>
      <c r="AC183" s="29">
        <v>11557</v>
      </c>
      <c r="AD183" s="29">
        <v>13706</v>
      </c>
      <c r="AE183" s="12">
        <v>0</v>
      </c>
      <c r="AF183" s="12">
        <v>5756</v>
      </c>
      <c r="AG183" s="12">
        <v>8594</v>
      </c>
      <c r="AH183" s="12">
        <v>10956</v>
      </c>
    </row>
    <row r="184" spans="1:34" ht="15.75" x14ac:dyDescent="0.25">
      <c r="A184" s="60" t="s">
        <v>18</v>
      </c>
      <c r="B184" s="29">
        <v>2585</v>
      </c>
      <c r="C184" s="29">
        <v>3071</v>
      </c>
      <c r="D184" s="29">
        <v>3834</v>
      </c>
      <c r="E184" s="29">
        <v>3590</v>
      </c>
      <c r="F184" s="29">
        <v>2448</v>
      </c>
      <c r="G184" s="29">
        <v>5335</v>
      </c>
      <c r="H184" s="29">
        <v>6135</v>
      </c>
      <c r="I184" s="29">
        <v>6273</v>
      </c>
      <c r="J184" s="29">
        <v>6075</v>
      </c>
      <c r="K184" s="29">
        <f>5462+24</f>
        <v>5486</v>
      </c>
      <c r="L184" s="28">
        <f>3566+22</f>
        <v>3588</v>
      </c>
      <c r="M184" s="28">
        <v>2255</v>
      </c>
      <c r="N184" s="28">
        <v>6082</v>
      </c>
      <c r="O184" s="29">
        <v>1688</v>
      </c>
      <c r="P184" s="29">
        <v>2125</v>
      </c>
      <c r="Q184" s="28">
        <v>1349</v>
      </c>
      <c r="R184" s="28">
        <v>3287</v>
      </c>
      <c r="S184" s="28">
        <v>2328</v>
      </c>
      <c r="T184" s="29">
        <v>4528</v>
      </c>
      <c r="U184" s="29">
        <v>6257</v>
      </c>
      <c r="V184" s="28">
        <v>5759</v>
      </c>
      <c r="W184" s="28">
        <v>8131</v>
      </c>
      <c r="X184" s="28">
        <v>7969</v>
      </c>
      <c r="Y184" s="29">
        <v>9553</v>
      </c>
      <c r="Z184" s="29">
        <v>9935</v>
      </c>
      <c r="AA184" s="29">
        <v>12166</v>
      </c>
      <c r="AB184" s="29">
        <v>11117</v>
      </c>
      <c r="AC184" s="29">
        <v>14636</v>
      </c>
      <c r="AD184" s="29">
        <v>15735</v>
      </c>
      <c r="AE184" s="12">
        <v>44</v>
      </c>
      <c r="AF184" s="12">
        <v>6136</v>
      </c>
      <c r="AG184" s="12">
        <v>9438</v>
      </c>
      <c r="AH184" s="12">
        <v>10364</v>
      </c>
    </row>
    <row r="185" spans="1:34" ht="15.75" x14ac:dyDescent="0.25">
      <c r="A185" s="60" t="s">
        <v>19</v>
      </c>
      <c r="B185" s="29">
        <v>3262</v>
      </c>
      <c r="C185" s="29">
        <v>4544</v>
      </c>
      <c r="D185" s="29">
        <v>5655</v>
      </c>
      <c r="E185" s="29">
        <v>5782</v>
      </c>
      <c r="F185" s="29">
        <v>4273</v>
      </c>
      <c r="G185" s="29">
        <v>6219</v>
      </c>
      <c r="H185" s="29">
        <v>7152</v>
      </c>
      <c r="I185" s="29">
        <v>8056</v>
      </c>
      <c r="J185" s="29">
        <v>7524</v>
      </c>
      <c r="K185" s="29">
        <v>7602</v>
      </c>
      <c r="L185" s="28">
        <f>5097+21</f>
        <v>5118</v>
      </c>
      <c r="M185" s="28">
        <v>4644</v>
      </c>
      <c r="N185" s="28">
        <v>3486</v>
      </c>
      <c r="O185" s="29">
        <v>2367</v>
      </c>
      <c r="P185" s="29">
        <v>3911</v>
      </c>
      <c r="Q185" s="28">
        <v>2043</v>
      </c>
      <c r="R185" s="28">
        <v>2401</v>
      </c>
      <c r="S185" s="28">
        <v>2753</v>
      </c>
      <c r="T185" s="29">
        <v>3017</v>
      </c>
      <c r="U185" s="29">
        <v>7251</v>
      </c>
      <c r="V185" s="28">
        <v>5747</v>
      </c>
      <c r="W185" s="28">
        <v>7142</v>
      </c>
      <c r="X185" s="28">
        <v>8625</v>
      </c>
      <c r="Y185" s="29">
        <v>8699</v>
      </c>
      <c r="Z185" s="29">
        <v>12150</v>
      </c>
      <c r="AA185" s="29">
        <v>12875</v>
      </c>
      <c r="AB185" s="29">
        <v>10588</v>
      </c>
      <c r="AC185" s="29">
        <v>19752</v>
      </c>
      <c r="AD185" s="29">
        <v>17061</v>
      </c>
      <c r="AE185" s="12">
        <v>159</v>
      </c>
      <c r="AF185" s="12">
        <v>8597</v>
      </c>
      <c r="AG185" s="12">
        <v>11447</v>
      </c>
      <c r="AH185" s="12">
        <v>13470</v>
      </c>
    </row>
    <row r="186" spans="1:34" ht="15.75" x14ac:dyDescent="0.25">
      <c r="A186" s="60" t="s">
        <v>20</v>
      </c>
      <c r="B186" s="29">
        <v>4470</v>
      </c>
      <c r="C186" s="29">
        <v>4985</v>
      </c>
      <c r="D186" s="29">
        <v>6787</v>
      </c>
      <c r="E186" s="29">
        <v>6697</v>
      </c>
      <c r="F186" s="29">
        <v>5442</v>
      </c>
      <c r="G186" s="29">
        <v>6623</v>
      </c>
      <c r="H186" s="29">
        <v>7616</v>
      </c>
      <c r="I186" s="29">
        <v>8391</v>
      </c>
      <c r="J186" s="29">
        <v>8799</v>
      </c>
      <c r="K186" s="29">
        <f>7877+4</f>
        <v>7881</v>
      </c>
      <c r="L186" s="28">
        <f>4407+61</f>
        <v>4468</v>
      </c>
      <c r="M186" s="28">
        <v>3678</v>
      </c>
      <c r="N186" s="28">
        <v>3959</v>
      </c>
      <c r="O186" s="29">
        <v>2584</v>
      </c>
      <c r="P186" s="29">
        <v>3727</v>
      </c>
      <c r="Q186" s="28">
        <v>3191</v>
      </c>
      <c r="R186" s="28">
        <v>2426</v>
      </c>
      <c r="S186" s="28">
        <v>3264</v>
      </c>
      <c r="T186" s="29">
        <v>3797</v>
      </c>
      <c r="U186" s="29">
        <v>8400</v>
      </c>
      <c r="V186" s="28">
        <v>6108</v>
      </c>
      <c r="W186" s="28">
        <v>11636</v>
      </c>
      <c r="X186" s="28">
        <v>10817</v>
      </c>
      <c r="Y186" s="29">
        <v>9575</v>
      </c>
      <c r="Z186" s="29">
        <v>14812</v>
      </c>
      <c r="AA186" s="29">
        <v>12875</v>
      </c>
      <c r="AB186" s="29">
        <v>10762</v>
      </c>
      <c r="AC186" s="29">
        <v>22617</v>
      </c>
      <c r="AD186" s="29">
        <v>17903</v>
      </c>
      <c r="AE186" s="12">
        <v>622</v>
      </c>
      <c r="AF186" s="12">
        <v>10608</v>
      </c>
      <c r="AG186" s="12">
        <v>14145</v>
      </c>
      <c r="AH186" s="12"/>
    </row>
    <row r="187" spans="1:34" ht="15.75" x14ac:dyDescent="0.25">
      <c r="A187" s="60" t="s">
        <v>21</v>
      </c>
      <c r="B187" s="29">
        <v>3201</v>
      </c>
      <c r="C187" s="29">
        <v>3335</v>
      </c>
      <c r="D187" s="29">
        <v>4971</v>
      </c>
      <c r="E187" s="29">
        <v>5623</v>
      </c>
      <c r="F187" s="29">
        <v>4367</v>
      </c>
      <c r="G187" s="29">
        <v>4262</v>
      </c>
      <c r="H187" s="29">
        <v>4901</v>
      </c>
      <c r="I187" s="29">
        <v>7429</v>
      </c>
      <c r="J187" s="29">
        <v>6720</v>
      </c>
      <c r="K187" s="29">
        <f>5743+15</f>
        <v>5758</v>
      </c>
      <c r="L187" s="28">
        <v>3500</v>
      </c>
      <c r="M187" s="28">
        <v>3138</v>
      </c>
      <c r="N187" s="28">
        <v>2138</v>
      </c>
      <c r="O187" s="29">
        <v>2615</v>
      </c>
      <c r="P187" s="29">
        <v>3751</v>
      </c>
      <c r="Q187" s="28">
        <v>3272</v>
      </c>
      <c r="R187" s="28">
        <v>1728</v>
      </c>
      <c r="S187" s="28">
        <f>2403</f>
        <v>2403</v>
      </c>
      <c r="T187" s="29">
        <v>2671</v>
      </c>
      <c r="U187" s="29">
        <v>7671</v>
      </c>
      <c r="V187" s="28">
        <v>5283</v>
      </c>
      <c r="W187" s="28">
        <v>7576</v>
      </c>
      <c r="X187" s="28">
        <v>8353</v>
      </c>
      <c r="Y187" s="29">
        <v>7843</v>
      </c>
      <c r="Z187" s="29">
        <v>10887</v>
      </c>
      <c r="AA187" s="29">
        <v>11529</v>
      </c>
      <c r="AB187" s="29">
        <v>9380</v>
      </c>
      <c r="AC187" s="29">
        <v>17364</v>
      </c>
      <c r="AD187" s="29">
        <v>15538</v>
      </c>
      <c r="AE187" s="12">
        <v>644</v>
      </c>
      <c r="AF187" s="12">
        <v>8571</v>
      </c>
      <c r="AG187" s="12">
        <v>11653</v>
      </c>
      <c r="AH187" s="12"/>
    </row>
    <row r="188" spans="1:34" ht="15.75" x14ac:dyDescent="0.25">
      <c r="A188" s="60" t="s">
        <v>10</v>
      </c>
      <c r="B188" s="29">
        <v>2843</v>
      </c>
      <c r="C188" s="29">
        <v>2703</v>
      </c>
      <c r="D188" s="29">
        <v>4730</v>
      </c>
      <c r="E188" s="29">
        <v>5840</v>
      </c>
      <c r="F188" s="29">
        <v>3779</v>
      </c>
      <c r="G188" s="29">
        <v>3367</v>
      </c>
      <c r="H188" s="29">
        <v>3872</v>
      </c>
      <c r="I188" s="29">
        <v>6568</v>
      </c>
      <c r="J188" s="29">
        <v>5957</v>
      </c>
      <c r="K188" s="29">
        <f>5392+11</f>
        <v>5403</v>
      </c>
      <c r="L188" s="28">
        <v>3022</v>
      </c>
      <c r="M188" s="28">
        <v>2473</v>
      </c>
      <c r="N188" s="28">
        <v>1609</v>
      </c>
      <c r="O188" s="29">
        <v>2136</v>
      </c>
      <c r="P188" s="29">
        <v>3260</v>
      </c>
      <c r="Q188" s="28">
        <v>1949</v>
      </c>
      <c r="R188" s="28">
        <v>3249</v>
      </c>
      <c r="S188" s="28">
        <f>3158</f>
        <v>3158</v>
      </c>
      <c r="T188" s="29">
        <v>4039</v>
      </c>
      <c r="U188" s="29">
        <v>8346</v>
      </c>
      <c r="V188" s="28">
        <v>5557</v>
      </c>
      <c r="W188" s="6">
        <v>7496</v>
      </c>
      <c r="X188" s="28">
        <v>7453</v>
      </c>
      <c r="Y188" s="29">
        <v>7536</v>
      </c>
      <c r="Z188" s="29">
        <v>11351</v>
      </c>
      <c r="AA188" s="29">
        <v>10412</v>
      </c>
      <c r="AB188" s="29">
        <v>8635</v>
      </c>
      <c r="AC188" s="29">
        <v>15016</v>
      </c>
      <c r="AD188" s="29">
        <v>13951</v>
      </c>
      <c r="AE188" s="12">
        <v>3305</v>
      </c>
      <c r="AF188" s="12">
        <v>8116</v>
      </c>
      <c r="AG188" s="12">
        <v>10631</v>
      </c>
      <c r="AH188" s="12"/>
    </row>
    <row r="189" spans="1:34" ht="15.75" x14ac:dyDescent="0.25">
      <c r="A189" s="60" t="s">
        <v>11</v>
      </c>
      <c r="B189" s="29">
        <v>2288</v>
      </c>
      <c r="C189" s="29">
        <v>2340</v>
      </c>
      <c r="D189" s="29">
        <v>4172</v>
      </c>
      <c r="E189" s="29">
        <v>5188</v>
      </c>
      <c r="F189" s="29">
        <v>2911</v>
      </c>
      <c r="G189" s="29">
        <v>3475</v>
      </c>
      <c r="H189" s="29">
        <v>3996</v>
      </c>
      <c r="I189" s="29">
        <v>5562</v>
      </c>
      <c r="J189" s="29">
        <v>4583</v>
      </c>
      <c r="K189" s="29">
        <v>2768</v>
      </c>
      <c r="L189" s="28">
        <v>2499</v>
      </c>
      <c r="M189" s="28">
        <v>1570</v>
      </c>
      <c r="N189" s="28">
        <v>1096</v>
      </c>
      <c r="O189" s="29">
        <v>1863</v>
      </c>
      <c r="P189" s="29">
        <v>2949</v>
      </c>
      <c r="Q189" s="28">
        <v>3731</v>
      </c>
      <c r="R189" s="28">
        <v>1746</v>
      </c>
      <c r="S189" s="28">
        <f>5222</f>
        <v>5222</v>
      </c>
      <c r="T189" s="29">
        <v>5187</v>
      </c>
      <c r="U189" s="29">
        <v>6572</v>
      </c>
      <c r="V189" s="28">
        <v>5453</v>
      </c>
      <c r="W189" s="6">
        <v>6921</v>
      </c>
      <c r="X189" s="28">
        <v>7954</v>
      </c>
      <c r="Y189" s="29">
        <v>6569</v>
      </c>
      <c r="Z189" s="29">
        <v>11357</v>
      </c>
      <c r="AA189" s="29">
        <v>8831</v>
      </c>
      <c r="AB189" s="29">
        <v>7953</v>
      </c>
      <c r="AC189" s="29">
        <v>16825</v>
      </c>
      <c r="AD189" s="29">
        <v>15076</v>
      </c>
      <c r="AE189" s="12">
        <v>3319</v>
      </c>
      <c r="AF189" s="12">
        <v>7926</v>
      </c>
      <c r="AG189" s="12">
        <v>9727</v>
      </c>
      <c r="AH189" s="12"/>
    </row>
    <row r="190" spans="1:34" ht="15.75" x14ac:dyDescent="0.25">
      <c r="A190" s="60" t="s">
        <v>12</v>
      </c>
      <c r="B190" s="29">
        <v>2780</v>
      </c>
      <c r="C190" s="29">
        <v>2928</v>
      </c>
      <c r="D190" s="29">
        <v>6170</v>
      </c>
      <c r="E190" s="29">
        <v>4209</v>
      </c>
      <c r="F190" s="29">
        <v>4745</v>
      </c>
      <c r="G190" s="29">
        <v>5230</v>
      </c>
      <c r="H190" s="29">
        <v>6015</v>
      </c>
      <c r="I190" s="29">
        <v>7474</v>
      </c>
      <c r="J190" s="29">
        <f>4576+16</f>
        <v>4592</v>
      </c>
      <c r="K190" s="29">
        <v>5295</v>
      </c>
      <c r="L190" s="28">
        <v>1923</v>
      </c>
      <c r="M190" s="28">
        <f>2485+91</f>
        <v>2576</v>
      </c>
      <c r="N190" s="28">
        <v>2226</v>
      </c>
      <c r="O190" s="29">
        <v>2480</v>
      </c>
      <c r="P190" s="29">
        <v>4147</v>
      </c>
      <c r="Q190" s="28">
        <v>3468</v>
      </c>
      <c r="R190" s="28">
        <v>2570</v>
      </c>
      <c r="S190" s="28">
        <v>4866</v>
      </c>
      <c r="T190" s="29">
        <v>5679</v>
      </c>
      <c r="U190" s="29">
        <v>5807</v>
      </c>
      <c r="V190" s="28">
        <v>7110</v>
      </c>
      <c r="W190" s="6">
        <v>6944</v>
      </c>
      <c r="X190" s="28">
        <v>7463</v>
      </c>
      <c r="Y190" s="29">
        <v>9811</v>
      </c>
      <c r="Z190" s="29">
        <v>12851</v>
      </c>
      <c r="AA190" s="29">
        <v>9982</v>
      </c>
      <c r="AB190" s="29">
        <v>10355</v>
      </c>
      <c r="AC190" s="29">
        <v>18176</v>
      </c>
      <c r="AD190" s="29">
        <v>16144</v>
      </c>
      <c r="AE190" s="12">
        <v>5044</v>
      </c>
      <c r="AF190" s="12">
        <v>7174</v>
      </c>
      <c r="AG190" s="12">
        <v>9399</v>
      </c>
      <c r="AH190" s="12"/>
    </row>
    <row r="191" spans="1:34" ht="16.5" thickBot="1" x14ac:dyDescent="0.3">
      <c r="A191" s="115" t="s">
        <v>13</v>
      </c>
      <c r="B191" s="116">
        <f>SUM(B179:B190)</f>
        <v>32055</v>
      </c>
      <c r="C191" s="116">
        <f>SUM(C179:C190)</f>
        <v>35526</v>
      </c>
      <c r="D191" s="116">
        <f t="shared" ref="D191:L191" si="46">SUM(D179:D190)</f>
        <v>50158</v>
      </c>
      <c r="E191" s="116">
        <f t="shared" si="46"/>
        <v>57800</v>
      </c>
      <c r="F191" s="116">
        <f t="shared" si="46"/>
        <v>45062</v>
      </c>
      <c r="G191" s="116">
        <f t="shared" si="46"/>
        <v>53015</v>
      </c>
      <c r="H191" s="116">
        <f t="shared" si="46"/>
        <v>60967</v>
      </c>
      <c r="I191" s="116">
        <f t="shared" si="46"/>
        <v>78691</v>
      </c>
      <c r="J191" s="116">
        <f t="shared" si="46"/>
        <v>73325</v>
      </c>
      <c r="K191" s="116">
        <f t="shared" si="46"/>
        <v>63324</v>
      </c>
      <c r="L191" s="117">
        <f t="shared" si="46"/>
        <v>43250</v>
      </c>
      <c r="M191" s="117">
        <f t="shared" ref="M191:X191" si="47">SUM(M179:M190)</f>
        <v>26757</v>
      </c>
      <c r="N191" s="117">
        <f t="shared" si="47"/>
        <v>31759</v>
      </c>
      <c r="O191" s="117">
        <f t="shared" si="47"/>
        <v>24509</v>
      </c>
      <c r="P191" s="117">
        <f t="shared" si="47"/>
        <v>33107</v>
      </c>
      <c r="Q191" s="117">
        <f t="shared" si="47"/>
        <v>35692</v>
      </c>
      <c r="R191" s="118">
        <f t="shared" si="47"/>
        <v>34497</v>
      </c>
      <c r="S191" s="117">
        <f t="shared" si="47"/>
        <v>38681</v>
      </c>
      <c r="T191" s="116">
        <f t="shared" si="47"/>
        <v>49434</v>
      </c>
      <c r="U191" s="116">
        <f t="shared" si="47"/>
        <v>75560</v>
      </c>
      <c r="V191" s="117">
        <f t="shared" si="47"/>
        <v>71879</v>
      </c>
      <c r="W191" s="119">
        <f t="shared" si="47"/>
        <v>89798</v>
      </c>
      <c r="X191" s="117">
        <f t="shared" si="47"/>
        <v>94583</v>
      </c>
      <c r="Y191" s="117">
        <f t="shared" ref="Y191:AE191" si="48">SUM(Y179:Y190)</f>
        <v>94549</v>
      </c>
      <c r="Z191" s="117">
        <f t="shared" si="48"/>
        <v>130391</v>
      </c>
      <c r="AA191" s="117">
        <f t="shared" si="48"/>
        <v>133774</v>
      </c>
      <c r="AB191" s="117">
        <f t="shared" si="48"/>
        <v>114667</v>
      </c>
      <c r="AC191" s="117">
        <f t="shared" si="48"/>
        <v>174411</v>
      </c>
      <c r="AD191" s="117">
        <f t="shared" si="48"/>
        <v>178815</v>
      </c>
      <c r="AE191" s="117">
        <f t="shared" si="48"/>
        <v>51079</v>
      </c>
      <c r="AF191" s="141">
        <f>SUM(AF179:AF190)</f>
        <v>79209</v>
      </c>
      <c r="AG191" s="141">
        <f>SUM(AG179:AG190)</f>
        <v>110795</v>
      </c>
      <c r="AH191" s="141">
        <f>SUM(AH179:AH190)</f>
        <v>70939</v>
      </c>
    </row>
    <row r="192" spans="1:34" ht="15.75" thickTop="1" x14ac:dyDescent="0.25"/>
    <row r="194" spans="1:34" x14ac:dyDescent="0.25">
      <c r="AD194" s="143"/>
      <c r="AE194" s="143"/>
      <c r="AF194" s="143"/>
      <c r="AG194" s="143"/>
      <c r="AH194" s="143"/>
    </row>
    <row r="196" spans="1:34" ht="18" x14ac:dyDescent="0.25">
      <c r="A196" s="163" t="s">
        <v>34</v>
      </c>
      <c r="B196" s="163"/>
      <c r="C196" s="163"/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</row>
    <row r="197" spans="1:34" ht="18" x14ac:dyDescent="0.25">
      <c r="A197" s="163" t="s">
        <v>36</v>
      </c>
      <c r="B197" s="163"/>
      <c r="C197" s="163"/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</row>
    <row r="198" spans="1:34" ht="15.75" thickBot="1" x14ac:dyDescent="0.3"/>
    <row r="199" spans="1:34" ht="16.5" thickTop="1" x14ac:dyDescent="0.25">
      <c r="A199" s="122" t="s">
        <v>0</v>
      </c>
      <c r="B199" s="123">
        <v>1991</v>
      </c>
      <c r="C199" s="123">
        <v>1992</v>
      </c>
      <c r="D199" s="123">
        <v>1993</v>
      </c>
      <c r="E199" s="123">
        <v>1994</v>
      </c>
      <c r="F199" s="123">
        <v>1995</v>
      </c>
      <c r="G199" s="123">
        <v>1996</v>
      </c>
      <c r="H199" s="123">
        <v>1997</v>
      </c>
      <c r="I199" s="123">
        <v>1998</v>
      </c>
      <c r="J199" s="123">
        <v>1999</v>
      </c>
      <c r="K199" s="123">
        <v>2000</v>
      </c>
      <c r="L199" s="124">
        <v>2001</v>
      </c>
      <c r="M199" s="123">
        <v>2002</v>
      </c>
      <c r="N199" s="124">
        <v>2003</v>
      </c>
      <c r="O199" s="123">
        <v>2004</v>
      </c>
      <c r="P199" s="123">
        <v>2005</v>
      </c>
      <c r="Q199" s="124">
        <v>2006</v>
      </c>
      <c r="R199" s="124">
        <v>2007</v>
      </c>
      <c r="S199" s="124">
        <v>2008</v>
      </c>
      <c r="T199" s="123">
        <v>2009</v>
      </c>
      <c r="U199" s="123">
        <v>2010</v>
      </c>
      <c r="V199" s="124">
        <v>2011</v>
      </c>
      <c r="W199" s="124">
        <v>2012</v>
      </c>
      <c r="X199" s="124">
        <v>2013</v>
      </c>
      <c r="Y199" s="125">
        <v>2014</v>
      </c>
      <c r="Z199" s="125">
        <v>2015</v>
      </c>
      <c r="AA199" s="125">
        <v>2016</v>
      </c>
      <c r="AB199" s="125">
        <v>2017</v>
      </c>
      <c r="AC199" s="126">
        <v>2018</v>
      </c>
      <c r="AD199" s="126">
        <v>2019</v>
      </c>
      <c r="AE199" s="126">
        <v>2020</v>
      </c>
      <c r="AF199" s="126">
        <v>2021</v>
      </c>
      <c r="AG199" s="126">
        <v>2022</v>
      </c>
      <c r="AH199" s="126">
        <v>2023</v>
      </c>
    </row>
    <row r="200" spans="1:34" ht="15.75" x14ac:dyDescent="0.25">
      <c r="A200" s="127" t="s">
        <v>1</v>
      </c>
      <c r="B200" s="128">
        <f>+B118+B140+B158+B179</f>
        <v>11443</v>
      </c>
      <c r="C200" s="128">
        <f>+C118+C140+C158+C179</f>
        <v>14389</v>
      </c>
      <c r="D200" s="128">
        <f>+D118+D140+D158+D179</f>
        <v>16621</v>
      </c>
      <c r="E200" s="128">
        <f>+E118+E140+E158+E179</f>
        <v>21907</v>
      </c>
      <c r="F200" s="128">
        <f t="shared" ref="F200:AH200" si="49">+F118+F140+F158+F179</f>
        <v>22962</v>
      </c>
      <c r="G200" s="128">
        <f t="shared" si="49"/>
        <v>29944</v>
      </c>
      <c r="H200" s="128">
        <f t="shared" si="49"/>
        <v>33417</v>
      </c>
      <c r="I200" s="128">
        <f t="shared" si="49"/>
        <v>35603</v>
      </c>
      <c r="J200" s="128">
        <f t="shared" si="49"/>
        <v>38577</v>
      </c>
      <c r="K200" s="128">
        <f t="shared" si="49"/>
        <v>34959</v>
      </c>
      <c r="L200" s="129">
        <f t="shared" si="49"/>
        <v>34365</v>
      </c>
      <c r="M200" s="129">
        <f t="shared" si="49"/>
        <v>33196</v>
      </c>
      <c r="N200" s="129">
        <f t="shared" si="49"/>
        <v>38319</v>
      </c>
      <c r="O200" s="128">
        <f t="shared" si="49"/>
        <v>41634</v>
      </c>
      <c r="P200" s="128">
        <f t="shared" si="49"/>
        <v>49819</v>
      </c>
      <c r="Q200" s="129">
        <f t="shared" si="49"/>
        <v>53483</v>
      </c>
      <c r="R200" s="129">
        <f t="shared" si="49"/>
        <v>63903</v>
      </c>
      <c r="S200" s="129">
        <f t="shared" si="49"/>
        <v>80085</v>
      </c>
      <c r="T200" s="128">
        <f t="shared" si="49"/>
        <v>78685</v>
      </c>
      <c r="U200" s="128">
        <f t="shared" si="49"/>
        <v>88378</v>
      </c>
      <c r="V200" s="129">
        <f t="shared" si="49"/>
        <v>94470</v>
      </c>
      <c r="W200" s="129">
        <f t="shared" si="49"/>
        <v>115273</v>
      </c>
      <c r="X200" s="129">
        <f t="shared" si="49"/>
        <v>122319</v>
      </c>
      <c r="Y200" s="128">
        <f t="shared" si="49"/>
        <v>123758</v>
      </c>
      <c r="Z200" s="128">
        <f t="shared" si="49"/>
        <v>123631</v>
      </c>
      <c r="AA200" s="128">
        <f t="shared" si="49"/>
        <v>127394</v>
      </c>
      <c r="AB200" s="128">
        <f t="shared" si="49"/>
        <v>135433</v>
      </c>
      <c r="AC200" s="130">
        <f t="shared" si="49"/>
        <v>147910</v>
      </c>
      <c r="AD200" s="130">
        <f t="shared" si="49"/>
        <v>163809</v>
      </c>
      <c r="AE200" s="130">
        <f t="shared" si="49"/>
        <v>176393</v>
      </c>
      <c r="AF200" s="130">
        <f t="shared" si="49"/>
        <v>58077</v>
      </c>
      <c r="AG200" s="130">
        <f t="shared" si="49"/>
        <v>118225</v>
      </c>
      <c r="AH200" s="130">
        <f t="shared" si="49"/>
        <v>166723</v>
      </c>
    </row>
    <row r="201" spans="1:34" ht="15.75" x14ac:dyDescent="0.25">
      <c r="A201" s="127" t="s">
        <v>2</v>
      </c>
      <c r="B201" s="128">
        <f t="shared" ref="B201:D212" si="50">+B119+B141+B159+B180</f>
        <v>11293</v>
      </c>
      <c r="C201" s="128">
        <f t="shared" si="50"/>
        <v>13077</v>
      </c>
      <c r="D201" s="128">
        <f t="shared" si="50"/>
        <v>13208</v>
      </c>
      <c r="E201" s="128">
        <f t="shared" ref="E201:AH201" si="51">+E119+E141+E159+E180</f>
        <v>16237</v>
      </c>
      <c r="F201" s="128">
        <f t="shared" si="51"/>
        <v>21206</v>
      </c>
      <c r="G201" s="128">
        <f t="shared" si="51"/>
        <v>25628</v>
      </c>
      <c r="H201" s="128">
        <f t="shared" si="51"/>
        <v>29205</v>
      </c>
      <c r="I201" s="128">
        <f t="shared" si="51"/>
        <v>32923</v>
      </c>
      <c r="J201" s="128">
        <f t="shared" si="51"/>
        <v>34176</v>
      </c>
      <c r="K201" s="128">
        <f t="shared" si="51"/>
        <v>33880</v>
      </c>
      <c r="L201" s="129">
        <f t="shared" si="51"/>
        <v>31970</v>
      </c>
      <c r="M201" s="129">
        <f t="shared" si="51"/>
        <v>29447</v>
      </c>
      <c r="N201" s="129">
        <f t="shared" si="51"/>
        <v>34294</v>
      </c>
      <c r="O201" s="128">
        <f t="shared" si="51"/>
        <v>39340</v>
      </c>
      <c r="P201" s="128">
        <f t="shared" si="51"/>
        <v>45834</v>
      </c>
      <c r="Q201" s="129">
        <f t="shared" si="51"/>
        <v>53542</v>
      </c>
      <c r="R201" s="129">
        <f t="shared" si="51"/>
        <v>56894</v>
      </c>
      <c r="S201" s="129">
        <f t="shared" si="51"/>
        <v>70608</v>
      </c>
      <c r="T201" s="128">
        <f t="shared" si="51"/>
        <v>70442</v>
      </c>
      <c r="U201" s="128">
        <f t="shared" si="51"/>
        <v>76676</v>
      </c>
      <c r="V201" s="129">
        <f t="shared" si="51"/>
        <v>75768</v>
      </c>
      <c r="W201" s="129">
        <f t="shared" si="51"/>
        <v>97385</v>
      </c>
      <c r="X201" s="129">
        <f t="shared" si="51"/>
        <v>105997</v>
      </c>
      <c r="Y201" s="128">
        <f t="shared" si="51"/>
        <v>109487</v>
      </c>
      <c r="Z201" s="128">
        <f t="shared" si="51"/>
        <v>108067</v>
      </c>
      <c r="AA201" s="128">
        <f t="shared" si="51"/>
        <v>100971</v>
      </c>
      <c r="AB201" s="128">
        <f t="shared" si="51"/>
        <v>116268</v>
      </c>
      <c r="AC201" s="130">
        <f t="shared" si="51"/>
        <v>131079</v>
      </c>
      <c r="AD201" s="130">
        <f t="shared" si="51"/>
        <v>142756</v>
      </c>
      <c r="AE201" s="130">
        <f t="shared" si="51"/>
        <v>160459</v>
      </c>
      <c r="AF201" s="130">
        <f t="shared" si="51"/>
        <v>61789</v>
      </c>
      <c r="AG201" s="130">
        <f t="shared" si="51"/>
        <v>107854</v>
      </c>
      <c r="AH201" s="130">
        <f t="shared" si="51"/>
        <v>149414</v>
      </c>
    </row>
    <row r="202" spans="1:34" ht="15.75" x14ac:dyDescent="0.25">
      <c r="A202" s="127" t="s">
        <v>3</v>
      </c>
      <c r="B202" s="128">
        <f t="shared" si="50"/>
        <v>13909</v>
      </c>
      <c r="C202" s="128">
        <f t="shared" si="50"/>
        <v>10946</v>
      </c>
      <c r="D202" s="128">
        <f t="shared" si="50"/>
        <v>13139</v>
      </c>
      <c r="E202" s="128">
        <f t="shared" ref="E202:AH202" si="52">+E120+E142+E160+E181</f>
        <v>17647</v>
      </c>
      <c r="F202" s="128">
        <f t="shared" si="52"/>
        <v>23685</v>
      </c>
      <c r="G202" s="128">
        <f t="shared" si="52"/>
        <v>28228</v>
      </c>
      <c r="H202" s="128">
        <f t="shared" si="52"/>
        <v>33042</v>
      </c>
      <c r="I202" s="128">
        <f t="shared" si="52"/>
        <v>36723</v>
      </c>
      <c r="J202" s="128">
        <f t="shared" si="52"/>
        <v>37234</v>
      </c>
      <c r="K202" s="128">
        <f t="shared" si="52"/>
        <v>34595</v>
      </c>
      <c r="L202" s="129">
        <f t="shared" si="52"/>
        <v>31913</v>
      </c>
      <c r="M202" s="129">
        <f t="shared" si="52"/>
        <v>31522</v>
      </c>
      <c r="N202" s="129">
        <f t="shared" si="52"/>
        <v>34585</v>
      </c>
      <c r="O202" s="128">
        <f t="shared" si="52"/>
        <v>41069</v>
      </c>
      <c r="P202" s="128">
        <f t="shared" si="52"/>
        <v>47508</v>
      </c>
      <c r="Q202" s="129">
        <f t="shared" si="52"/>
        <v>50303</v>
      </c>
      <c r="R202" s="129">
        <f t="shared" si="52"/>
        <v>72940</v>
      </c>
      <c r="S202" s="129">
        <f t="shared" si="52"/>
        <v>90876</v>
      </c>
      <c r="T202" s="128">
        <f t="shared" si="52"/>
        <v>81219</v>
      </c>
      <c r="U202" s="128">
        <f t="shared" si="52"/>
        <v>82554</v>
      </c>
      <c r="V202" s="129">
        <f t="shared" si="52"/>
        <v>85657</v>
      </c>
      <c r="W202" s="129">
        <f t="shared" si="52"/>
        <v>105106</v>
      </c>
      <c r="X202" s="129">
        <f t="shared" si="52"/>
        <v>113296</v>
      </c>
      <c r="Y202" s="128">
        <f t="shared" si="52"/>
        <v>113633</v>
      </c>
      <c r="Z202" s="128">
        <f t="shared" si="52"/>
        <v>123838</v>
      </c>
      <c r="AA202" s="128">
        <f t="shared" si="52"/>
        <v>118519</v>
      </c>
      <c r="AB202" s="128">
        <f t="shared" si="52"/>
        <v>125689</v>
      </c>
      <c r="AC202" s="130">
        <f t="shared" si="52"/>
        <v>141956</v>
      </c>
      <c r="AD202" s="130">
        <f t="shared" si="52"/>
        <v>154889</v>
      </c>
      <c r="AE202" s="130">
        <f t="shared" si="52"/>
        <v>92394</v>
      </c>
      <c r="AF202" s="130">
        <f t="shared" si="52"/>
        <v>76819</v>
      </c>
      <c r="AG202" s="130">
        <f t="shared" si="52"/>
        <v>121377</v>
      </c>
      <c r="AH202" s="130">
        <f t="shared" si="52"/>
        <v>118485</v>
      </c>
    </row>
    <row r="203" spans="1:34" ht="15.75" x14ac:dyDescent="0.25">
      <c r="A203" s="127" t="s">
        <v>16</v>
      </c>
      <c r="B203" s="128">
        <f t="shared" si="50"/>
        <v>12561</v>
      </c>
      <c r="C203" s="128">
        <f t="shared" si="50"/>
        <v>13032</v>
      </c>
      <c r="D203" s="128">
        <f t="shared" si="50"/>
        <v>14984</v>
      </c>
      <c r="E203" s="128">
        <f t="shared" ref="E203:AH203" si="53">+E121+E143+E161+E182</f>
        <v>18009</v>
      </c>
      <c r="F203" s="128">
        <f t="shared" si="53"/>
        <v>24888</v>
      </c>
      <c r="G203" s="128">
        <f t="shared" si="53"/>
        <v>28159</v>
      </c>
      <c r="H203" s="128">
        <f t="shared" si="53"/>
        <v>34445</v>
      </c>
      <c r="I203" s="128">
        <f t="shared" si="53"/>
        <v>35693</v>
      </c>
      <c r="J203" s="128">
        <f t="shared" si="53"/>
        <v>34068</v>
      </c>
      <c r="K203" s="128">
        <f t="shared" si="53"/>
        <v>33994</v>
      </c>
      <c r="L203" s="129">
        <f t="shared" si="53"/>
        <v>33250</v>
      </c>
      <c r="M203" s="129">
        <f t="shared" si="53"/>
        <v>31018</v>
      </c>
      <c r="N203" s="129">
        <f t="shared" si="53"/>
        <v>33993</v>
      </c>
      <c r="O203" s="128">
        <f t="shared" si="53"/>
        <v>40534</v>
      </c>
      <c r="P203" s="128">
        <f t="shared" si="53"/>
        <v>46313</v>
      </c>
      <c r="Q203" s="129">
        <f t="shared" si="53"/>
        <v>51711</v>
      </c>
      <c r="R203" s="129">
        <f t="shared" si="53"/>
        <v>62660</v>
      </c>
      <c r="S203" s="129">
        <f t="shared" si="53"/>
        <v>70413</v>
      </c>
      <c r="T203" s="128">
        <f t="shared" si="53"/>
        <v>75118</v>
      </c>
      <c r="U203" s="128">
        <f t="shared" si="53"/>
        <v>78752</v>
      </c>
      <c r="V203" s="129">
        <f t="shared" si="53"/>
        <v>91274</v>
      </c>
      <c r="W203" s="129">
        <f t="shared" si="53"/>
        <v>102797</v>
      </c>
      <c r="X203" s="129">
        <f t="shared" si="53"/>
        <v>108912</v>
      </c>
      <c r="Y203" s="128">
        <f t="shared" si="53"/>
        <v>110342</v>
      </c>
      <c r="Z203" s="128">
        <f t="shared" si="53"/>
        <v>112435</v>
      </c>
      <c r="AA203" s="128">
        <f t="shared" si="53"/>
        <v>115158</v>
      </c>
      <c r="AB203" s="128">
        <f t="shared" si="53"/>
        <v>128234</v>
      </c>
      <c r="AC203" s="130">
        <f t="shared" si="53"/>
        <v>138755</v>
      </c>
      <c r="AD203" s="130">
        <f t="shared" si="53"/>
        <v>150825</v>
      </c>
      <c r="AE203" s="130">
        <f t="shared" si="53"/>
        <v>1103</v>
      </c>
      <c r="AF203" s="130">
        <f t="shared" si="53"/>
        <v>85427</v>
      </c>
      <c r="AG203" s="130">
        <f t="shared" si="53"/>
        <v>130000</v>
      </c>
      <c r="AH203" s="130">
        <f t="shared" si="53"/>
        <v>135850</v>
      </c>
    </row>
    <row r="204" spans="1:34" ht="15.75" x14ac:dyDescent="0.25">
      <c r="A204" s="127" t="s">
        <v>17</v>
      </c>
      <c r="B204" s="128">
        <f t="shared" si="50"/>
        <v>12575</v>
      </c>
      <c r="C204" s="128">
        <f t="shared" si="50"/>
        <v>13601</v>
      </c>
      <c r="D204" s="128">
        <f t="shared" si="50"/>
        <v>14616</v>
      </c>
      <c r="E204" s="128">
        <f t="shared" ref="E204:AH204" si="54">+E122+E144+E162+E183</f>
        <v>18126</v>
      </c>
      <c r="F204" s="128">
        <f t="shared" si="54"/>
        <v>23597</v>
      </c>
      <c r="G204" s="128">
        <f t="shared" si="54"/>
        <v>27139</v>
      </c>
      <c r="H204" s="128">
        <f t="shared" si="54"/>
        <v>33022</v>
      </c>
      <c r="I204" s="128">
        <f t="shared" si="54"/>
        <v>37266</v>
      </c>
      <c r="J204" s="128">
        <f t="shared" si="54"/>
        <v>35572</v>
      </c>
      <c r="K204" s="128">
        <f t="shared" si="54"/>
        <v>35180</v>
      </c>
      <c r="L204" s="129">
        <f t="shared" si="54"/>
        <v>32996</v>
      </c>
      <c r="M204" s="129">
        <f t="shared" si="54"/>
        <v>31582</v>
      </c>
      <c r="N204" s="129">
        <f t="shared" si="54"/>
        <v>37849</v>
      </c>
      <c r="O204" s="128">
        <f t="shared" si="54"/>
        <v>42442</v>
      </c>
      <c r="P204" s="128">
        <f t="shared" si="54"/>
        <v>49502</v>
      </c>
      <c r="Q204" s="129">
        <f t="shared" si="54"/>
        <v>55740</v>
      </c>
      <c r="R204" s="129">
        <f t="shared" si="54"/>
        <v>66516</v>
      </c>
      <c r="S204" s="129">
        <f t="shared" si="54"/>
        <v>79420</v>
      </c>
      <c r="T204" s="128">
        <f t="shared" si="54"/>
        <v>77354</v>
      </c>
      <c r="U204" s="128">
        <f t="shared" si="54"/>
        <v>88348</v>
      </c>
      <c r="V204" s="129">
        <f t="shared" si="54"/>
        <v>89969</v>
      </c>
      <c r="W204" s="129">
        <f t="shared" si="54"/>
        <v>101209</v>
      </c>
      <c r="X204" s="129">
        <f t="shared" si="54"/>
        <v>119131</v>
      </c>
      <c r="Y204" s="128">
        <f t="shared" si="54"/>
        <v>119240</v>
      </c>
      <c r="Z204" s="128">
        <f t="shared" si="54"/>
        <v>120613</v>
      </c>
      <c r="AA204" s="128">
        <f t="shared" si="54"/>
        <v>125447</v>
      </c>
      <c r="AB204" s="128">
        <f t="shared" si="54"/>
        <v>132391</v>
      </c>
      <c r="AC204" s="130">
        <f t="shared" si="54"/>
        <v>143216</v>
      </c>
      <c r="AD204" s="130">
        <f t="shared" si="54"/>
        <v>155518</v>
      </c>
      <c r="AE204" s="130">
        <f t="shared" si="54"/>
        <v>1148</v>
      </c>
      <c r="AF204" s="130">
        <f t="shared" si="54"/>
        <v>77565</v>
      </c>
      <c r="AG204" s="130">
        <f t="shared" si="54"/>
        <v>134527</v>
      </c>
      <c r="AH204" s="130">
        <f t="shared" si="54"/>
        <v>165166</v>
      </c>
    </row>
    <row r="205" spans="1:34" ht="15.75" x14ac:dyDescent="0.25">
      <c r="A205" s="127" t="s">
        <v>18</v>
      </c>
      <c r="B205" s="128">
        <f t="shared" si="50"/>
        <v>11799</v>
      </c>
      <c r="C205" s="128">
        <f t="shared" si="50"/>
        <v>13146</v>
      </c>
      <c r="D205" s="128">
        <f t="shared" si="50"/>
        <v>16150</v>
      </c>
      <c r="E205" s="128">
        <f t="shared" ref="E205:AH205" si="55">+E123+E145+E163+E184</f>
        <v>19207</v>
      </c>
      <c r="F205" s="128">
        <f t="shared" si="55"/>
        <v>22804</v>
      </c>
      <c r="G205" s="128">
        <f t="shared" si="55"/>
        <v>31751</v>
      </c>
      <c r="H205" s="128">
        <f t="shared" si="55"/>
        <v>34181</v>
      </c>
      <c r="I205" s="128">
        <f t="shared" si="55"/>
        <v>35540</v>
      </c>
      <c r="J205" s="128">
        <f t="shared" si="55"/>
        <v>35705</v>
      </c>
      <c r="K205" s="128">
        <f t="shared" si="55"/>
        <v>36367</v>
      </c>
      <c r="L205" s="129">
        <f t="shared" si="55"/>
        <v>34068</v>
      </c>
      <c r="M205" s="129">
        <f t="shared" si="55"/>
        <v>32493</v>
      </c>
      <c r="N205" s="129">
        <f t="shared" si="55"/>
        <v>54790</v>
      </c>
      <c r="O205" s="128">
        <f t="shared" si="55"/>
        <v>43948</v>
      </c>
      <c r="P205" s="128">
        <f t="shared" si="55"/>
        <v>48103</v>
      </c>
      <c r="Q205" s="129">
        <f t="shared" si="55"/>
        <v>55633</v>
      </c>
      <c r="R205" s="129">
        <f t="shared" si="55"/>
        <v>69660</v>
      </c>
      <c r="S205" s="129">
        <f t="shared" si="55"/>
        <v>83661</v>
      </c>
      <c r="T205" s="128">
        <f t="shared" si="55"/>
        <v>79690</v>
      </c>
      <c r="U205" s="128">
        <f t="shared" si="55"/>
        <v>90200</v>
      </c>
      <c r="V205" s="129">
        <f t="shared" si="55"/>
        <v>96997</v>
      </c>
      <c r="W205" s="129">
        <f t="shared" si="55"/>
        <v>111583</v>
      </c>
      <c r="X205" s="129">
        <f t="shared" si="55"/>
        <v>124578</v>
      </c>
      <c r="Y205" s="128">
        <f t="shared" si="55"/>
        <v>127130</v>
      </c>
      <c r="Z205" s="128">
        <f t="shared" si="55"/>
        <v>126922</v>
      </c>
      <c r="AA205" s="128">
        <f t="shared" si="55"/>
        <v>125896</v>
      </c>
      <c r="AB205" s="128">
        <f t="shared" si="55"/>
        <v>133505</v>
      </c>
      <c r="AC205" s="130">
        <f t="shared" si="55"/>
        <v>151181</v>
      </c>
      <c r="AD205" s="130">
        <f t="shared" si="55"/>
        <v>164162</v>
      </c>
      <c r="AE205" s="130">
        <f t="shared" si="55"/>
        <v>1936</v>
      </c>
      <c r="AF205" s="130">
        <f t="shared" si="55"/>
        <v>76262</v>
      </c>
      <c r="AG205" s="130">
        <f t="shared" si="55"/>
        <v>146834</v>
      </c>
      <c r="AH205" s="130">
        <f t="shared" si="55"/>
        <v>173690</v>
      </c>
    </row>
    <row r="206" spans="1:34" ht="15.75" x14ac:dyDescent="0.25">
      <c r="A206" s="127" t="s">
        <v>19</v>
      </c>
      <c r="B206" s="128">
        <f t="shared" si="50"/>
        <v>15508</v>
      </c>
      <c r="C206" s="128">
        <f t="shared" si="50"/>
        <v>17125</v>
      </c>
      <c r="D206" s="128">
        <f t="shared" si="50"/>
        <v>19528</v>
      </c>
      <c r="E206" s="128">
        <f t="shared" ref="E206:AH206" si="56">+E124+E146+E164+E185</f>
        <v>24840</v>
      </c>
      <c r="F206" s="128">
        <f t="shared" si="56"/>
        <v>29901</v>
      </c>
      <c r="G206" s="128">
        <f t="shared" si="56"/>
        <v>35769</v>
      </c>
      <c r="H206" s="128">
        <f t="shared" si="56"/>
        <v>40226</v>
      </c>
      <c r="I206" s="128">
        <f t="shared" si="56"/>
        <v>41661</v>
      </c>
      <c r="J206" s="128">
        <f t="shared" si="56"/>
        <v>41790</v>
      </c>
      <c r="K206" s="128">
        <f t="shared" si="56"/>
        <v>42697</v>
      </c>
      <c r="L206" s="129">
        <f t="shared" si="56"/>
        <v>39894</v>
      </c>
      <c r="M206" s="129">
        <f t="shared" si="56"/>
        <v>43313</v>
      </c>
      <c r="N206" s="129">
        <f t="shared" si="56"/>
        <v>47721</v>
      </c>
      <c r="O206" s="128">
        <f t="shared" si="56"/>
        <v>49306</v>
      </c>
      <c r="P206" s="128">
        <f t="shared" si="56"/>
        <v>57647</v>
      </c>
      <c r="Q206" s="129">
        <f t="shared" si="56"/>
        <v>63261</v>
      </c>
      <c r="R206" s="129">
        <f t="shared" si="56"/>
        <v>78405</v>
      </c>
      <c r="S206" s="129">
        <f t="shared" si="56"/>
        <v>90097</v>
      </c>
      <c r="T206" s="128">
        <f t="shared" si="56"/>
        <v>92136</v>
      </c>
      <c r="U206" s="128">
        <f t="shared" si="56"/>
        <v>108401</v>
      </c>
      <c r="V206" s="129">
        <f t="shared" si="56"/>
        <v>113808</v>
      </c>
      <c r="W206" s="129">
        <f t="shared" si="56"/>
        <v>122517</v>
      </c>
      <c r="X206" s="129">
        <f t="shared" si="56"/>
        <v>133131</v>
      </c>
      <c r="Y206" s="128">
        <f t="shared" si="56"/>
        <v>126253</v>
      </c>
      <c r="Z206" s="128">
        <f t="shared" si="56"/>
        <v>138739</v>
      </c>
      <c r="AA206" s="128">
        <f t="shared" si="56"/>
        <v>149817</v>
      </c>
      <c r="AB206" s="128">
        <f t="shared" si="56"/>
        <v>157647</v>
      </c>
      <c r="AC206" s="130">
        <f t="shared" si="56"/>
        <v>181333</v>
      </c>
      <c r="AD206" s="130">
        <f t="shared" si="56"/>
        <v>186910</v>
      </c>
      <c r="AE206" s="130">
        <f t="shared" si="56"/>
        <v>6407</v>
      </c>
      <c r="AF206" s="130">
        <f t="shared" si="56"/>
        <v>62368</v>
      </c>
      <c r="AG206" s="130">
        <f t="shared" si="56"/>
        <v>165984</v>
      </c>
      <c r="AH206" s="130">
        <f t="shared" si="56"/>
        <v>201647</v>
      </c>
    </row>
    <row r="207" spans="1:34" ht="15.75" x14ac:dyDescent="0.25">
      <c r="A207" s="127" t="s">
        <v>20</v>
      </c>
      <c r="B207" s="128">
        <f t="shared" si="50"/>
        <v>15836</v>
      </c>
      <c r="C207" s="128">
        <f t="shared" si="50"/>
        <v>17564</v>
      </c>
      <c r="D207" s="128">
        <f t="shared" si="50"/>
        <v>21565</v>
      </c>
      <c r="E207" s="128">
        <f t="shared" ref="E207:AH207" si="57">+E125+E147+E165+E186</f>
        <v>26857</v>
      </c>
      <c r="F207" s="128">
        <f t="shared" si="57"/>
        <v>30625</v>
      </c>
      <c r="G207" s="128">
        <f t="shared" si="57"/>
        <v>37400</v>
      </c>
      <c r="H207" s="128">
        <f t="shared" si="57"/>
        <v>40276</v>
      </c>
      <c r="I207" s="128">
        <f t="shared" si="57"/>
        <v>41606</v>
      </c>
      <c r="J207" s="128">
        <f t="shared" si="57"/>
        <v>42704</v>
      </c>
      <c r="K207" s="128">
        <f t="shared" si="57"/>
        <v>41831</v>
      </c>
      <c r="L207" s="129">
        <f t="shared" si="57"/>
        <v>42404</v>
      </c>
      <c r="M207" s="129">
        <f t="shared" si="57"/>
        <v>42142</v>
      </c>
      <c r="N207" s="129">
        <f t="shared" si="57"/>
        <v>46536</v>
      </c>
      <c r="O207" s="128">
        <f t="shared" si="57"/>
        <v>57723</v>
      </c>
      <c r="P207" s="128">
        <f t="shared" si="57"/>
        <v>63397</v>
      </c>
      <c r="Q207" s="129">
        <f t="shared" si="57"/>
        <v>69104</v>
      </c>
      <c r="R207" s="129">
        <f t="shared" si="57"/>
        <v>79894</v>
      </c>
      <c r="S207" s="129">
        <f t="shared" si="57"/>
        <v>91452</v>
      </c>
      <c r="T207" s="128">
        <f t="shared" si="57"/>
        <v>93484</v>
      </c>
      <c r="U207" s="128">
        <f t="shared" si="57"/>
        <v>110180</v>
      </c>
      <c r="V207" s="129">
        <f t="shared" si="57"/>
        <v>104556</v>
      </c>
      <c r="W207" s="129">
        <f t="shared" si="57"/>
        <v>121999</v>
      </c>
      <c r="X207" s="129">
        <f t="shared" si="57"/>
        <v>133814</v>
      </c>
      <c r="Y207" s="128">
        <f t="shared" si="57"/>
        <v>135248</v>
      </c>
      <c r="Z207" s="128">
        <f t="shared" si="57"/>
        <v>146864</v>
      </c>
      <c r="AA207" s="128">
        <f t="shared" si="57"/>
        <v>150730</v>
      </c>
      <c r="AB207" s="128">
        <f t="shared" si="57"/>
        <v>153513</v>
      </c>
      <c r="AC207" s="130">
        <f t="shared" si="57"/>
        <v>178664</v>
      </c>
      <c r="AD207" s="130">
        <f t="shared" si="57"/>
        <v>184225</v>
      </c>
      <c r="AE207" s="130">
        <f t="shared" si="57"/>
        <v>7232</v>
      </c>
      <c r="AF207" s="130">
        <f t="shared" si="57"/>
        <v>83191</v>
      </c>
      <c r="AG207" s="130">
        <f t="shared" si="57"/>
        <v>170553</v>
      </c>
      <c r="AH207" s="130">
        <f t="shared" si="57"/>
        <v>0</v>
      </c>
    </row>
    <row r="208" spans="1:34" ht="15.75" x14ac:dyDescent="0.25">
      <c r="A208" s="127" t="s">
        <v>21</v>
      </c>
      <c r="B208" s="128">
        <f t="shared" si="50"/>
        <v>13040</v>
      </c>
      <c r="C208" s="128">
        <f t="shared" si="50"/>
        <v>15433</v>
      </c>
      <c r="D208" s="128">
        <f t="shared" si="50"/>
        <v>19192</v>
      </c>
      <c r="E208" s="128">
        <f t="shared" ref="E208:AH208" si="58">+E126+E148+E166+E187</f>
        <v>24308</v>
      </c>
      <c r="F208" s="128">
        <f t="shared" si="58"/>
        <v>28563</v>
      </c>
      <c r="G208" s="128">
        <f t="shared" si="58"/>
        <v>34033</v>
      </c>
      <c r="H208" s="128">
        <f t="shared" si="58"/>
        <v>34951</v>
      </c>
      <c r="I208" s="128">
        <f t="shared" si="58"/>
        <v>36963</v>
      </c>
      <c r="J208" s="128">
        <f t="shared" si="58"/>
        <v>39975</v>
      </c>
      <c r="K208" s="128">
        <f t="shared" si="58"/>
        <v>39201</v>
      </c>
      <c r="L208" s="129">
        <f t="shared" si="58"/>
        <v>36712</v>
      </c>
      <c r="M208" s="129">
        <f t="shared" si="58"/>
        <v>39148</v>
      </c>
      <c r="N208" s="129">
        <f t="shared" si="58"/>
        <v>41470</v>
      </c>
      <c r="O208" s="128">
        <f t="shared" si="58"/>
        <v>48042</v>
      </c>
      <c r="P208" s="128">
        <f t="shared" si="58"/>
        <v>57035</v>
      </c>
      <c r="Q208" s="129">
        <f t="shared" si="58"/>
        <v>68549</v>
      </c>
      <c r="R208" s="129">
        <f t="shared" si="58"/>
        <v>78252</v>
      </c>
      <c r="S208" s="129">
        <f t="shared" si="58"/>
        <v>85506</v>
      </c>
      <c r="T208" s="128">
        <f t="shared" si="58"/>
        <v>81508</v>
      </c>
      <c r="U208" s="128">
        <f t="shared" si="58"/>
        <v>90370</v>
      </c>
      <c r="V208" s="129">
        <f t="shared" si="58"/>
        <v>95759</v>
      </c>
      <c r="W208" s="129">
        <f t="shared" si="58"/>
        <v>116286</v>
      </c>
      <c r="X208" s="129">
        <f t="shared" si="58"/>
        <v>124738</v>
      </c>
      <c r="Y208" s="128">
        <f t="shared" si="58"/>
        <v>114755</v>
      </c>
      <c r="Z208" s="128">
        <f t="shared" si="58"/>
        <v>125750</v>
      </c>
      <c r="AA208" s="128">
        <f t="shared" si="58"/>
        <v>132581</v>
      </c>
      <c r="AB208" s="128">
        <f t="shared" si="58"/>
        <v>139327</v>
      </c>
      <c r="AC208" s="130">
        <f t="shared" si="58"/>
        <v>168470</v>
      </c>
      <c r="AD208" s="130">
        <f t="shared" si="58"/>
        <v>173845</v>
      </c>
      <c r="AE208" s="130">
        <f t="shared" si="58"/>
        <v>12238</v>
      </c>
      <c r="AF208" s="130">
        <f t="shared" si="58"/>
        <v>88952</v>
      </c>
      <c r="AG208" s="130">
        <f t="shared" si="58"/>
        <v>158270</v>
      </c>
      <c r="AH208" s="130">
        <f t="shared" si="58"/>
        <v>0</v>
      </c>
    </row>
    <row r="209" spans="1:34" ht="15.75" x14ac:dyDescent="0.25">
      <c r="A209" s="127" t="s">
        <v>10</v>
      </c>
      <c r="B209" s="128">
        <f t="shared" si="50"/>
        <v>12556</v>
      </c>
      <c r="C209" s="128">
        <f t="shared" si="50"/>
        <v>13865</v>
      </c>
      <c r="D209" s="128">
        <f t="shared" si="50"/>
        <v>17766</v>
      </c>
      <c r="E209" s="128">
        <f t="shared" ref="E209:AH209" si="59">+E127+E149+E167+E188</f>
        <v>23586</v>
      </c>
      <c r="F209" s="128">
        <f t="shared" si="59"/>
        <v>26382</v>
      </c>
      <c r="G209" s="128">
        <f t="shared" si="59"/>
        <v>30610</v>
      </c>
      <c r="H209" s="128">
        <f t="shared" si="59"/>
        <v>33173</v>
      </c>
      <c r="I209" s="128">
        <f t="shared" si="59"/>
        <v>36468</v>
      </c>
      <c r="J209" s="128">
        <f t="shared" si="59"/>
        <v>37932</v>
      </c>
      <c r="K209" s="128">
        <f t="shared" si="59"/>
        <v>35555</v>
      </c>
      <c r="L209" s="129">
        <f t="shared" si="59"/>
        <v>31824</v>
      </c>
      <c r="M209" s="129">
        <f t="shared" si="59"/>
        <v>35756</v>
      </c>
      <c r="N209" s="129">
        <f t="shared" si="59"/>
        <v>41285</v>
      </c>
      <c r="O209" s="128">
        <f t="shared" si="59"/>
        <v>47427</v>
      </c>
      <c r="P209" s="128">
        <f t="shared" si="59"/>
        <v>53227</v>
      </c>
      <c r="Q209" s="129">
        <f t="shared" si="59"/>
        <v>59896</v>
      </c>
      <c r="R209" s="129">
        <f t="shared" si="59"/>
        <v>73678</v>
      </c>
      <c r="S209" s="129">
        <f t="shared" si="59"/>
        <v>83611</v>
      </c>
      <c r="T209" s="128">
        <f t="shared" si="59"/>
        <v>93527</v>
      </c>
      <c r="U209" s="128">
        <f t="shared" si="59"/>
        <v>101748</v>
      </c>
      <c r="V209" s="129">
        <f t="shared" si="59"/>
        <v>105818</v>
      </c>
      <c r="W209" s="131">
        <f t="shared" si="59"/>
        <v>117879</v>
      </c>
      <c r="X209" s="129">
        <f t="shared" si="59"/>
        <v>122924</v>
      </c>
      <c r="Y209" s="128">
        <f t="shared" si="59"/>
        <v>117726</v>
      </c>
      <c r="Z209" s="128">
        <f t="shared" si="59"/>
        <v>123527</v>
      </c>
      <c r="AA209" s="128">
        <f t="shared" si="59"/>
        <v>128697</v>
      </c>
      <c r="AB209" s="128">
        <f t="shared" si="59"/>
        <v>132591</v>
      </c>
      <c r="AC209" s="130">
        <f t="shared" si="59"/>
        <v>156583</v>
      </c>
      <c r="AD209" s="130">
        <f t="shared" si="59"/>
        <v>164450</v>
      </c>
      <c r="AE209" s="130">
        <f t="shared" si="59"/>
        <v>42761</v>
      </c>
      <c r="AF209" s="130">
        <f t="shared" si="59"/>
        <v>108555</v>
      </c>
      <c r="AG209" s="130">
        <f t="shared" si="59"/>
        <v>149334</v>
      </c>
      <c r="AH209" s="130">
        <f t="shared" si="59"/>
        <v>0</v>
      </c>
    </row>
    <row r="210" spans="1:34" ht="15.75" x14ac:dyDescent="0.25">
      <c r="A210" s="127" t="s">
        <v>11</v>
      </c>
      <c r="B210" s="128">
        <f t="shared" si="50"/>
        <v>11707</v>
      </c>
      <c r="C210" s="128">
        <f t="shared" si="50"/>
        <v>13548</v>
      </c>
      <c r="D210" s="128">
        <f t="shared" si="50"/>
        <v>17166</v>
      </c>
      <c r="E210" s="128">
        <f t="shared" ref="E210:AH210" si="60">+E128+E150+E168+E189</f>
        <v>23568</v>
      </c>
      <c r="F210" s="128">
        <f t="shared" si="60"/>
        <v>25742</v>
      </c>
      <c r="G210" s="128">
        <f t="shared" si="60"/>
        <v>30621</v>
      </c>
      <c r="H210" s="128">
        <f t="shared" si="60"/>
        <v>32830</v>
      </c>
      <c r="I210" s="128">
        <f t="shared" si="60"/>
        <v>34135</v>
      </c>
      <c r="J210" s="128">
        <f t="shared" si="60"/>
        <v>34560</v>
      </c>
      <c r="K210" s="128">
        <f t="shared" si="60"/>
        <v>31142</v>
      </c>
      <c r="L210" s="129">
        <f t="shared" si="60"/>
        <v>30666</v>
      </c>
      <c r="M210" s="129">
        <f t="shared" si="60"/>
        <v>34467</v>
      </c>
      <c r="N210" s="129">
        <f t="shared" si="60"/>
        <v>38175</v>
      </c>
      <c r="O210" s="128">
        <f t="shared" si="60"/>
        <v>43110</v>
      </c>
      <c r="P210" s="128">
        <f t="shared" si="60"/>
        <v>49486</v>
      </c>
      <c r="Q210" s="129">
        <f t="shared" si="60"/>
        <v>63370</v>
      </c>
      <c r="R210" s="129">
        <f t="shared" si="60"/>
        <v>67669</v>
      </c>
      <c r="S210" s="129">
        <f t="shared" si="60"/>
        <v>84380</v>
      </c>
      <c r="T210" s="128">
        <f t="shared" si="60"/>
        <v>82241</v>
      </c>
      <c r="U210" s="128">
        <f t="shared" si="60"/>
        <v>95621</v>
      </c>
      <c r="V210" s="129">
        <f t="shared" si="60"/>
        <v>101263</v>
      </c>
      <c r="W210" s="131">
        <f t="shared" si="60"/>
        <v>110422</v>
      </c>
      <c r="X210" s="129">
        <f t="shared" si="60"/>
        <v>122763</v>
      </c>
      <c r="Y210" s="128">
        <f t="shared" si="60"/>
        <v>122807</v>
      </c>
      <c r="Z210" s="128">
        <f t="shared" si="60"/>
        <v>131543</v>
      </c>
      <c r="AA210" s="128">
        <f t="shared" si="60"/>
        <v>126730</v>
      </c>
      <c r="AB210" s="128">
        <f t="shared" si="60"/>
        <v>130496</v>
      </c>
      <c r="AC210" s="130">
        <f t="shared" si="60"/>
        <v>154511</v>
      </c>
      <c r="AD210" s="130">
        <f t="shared" si="60"/>
        <v>169403</v>
      </c>
      <c r="AE210" s="130">
        <f t="shared" si="60"/>
        <v>51383</v>
      </c>
      <c r="AF210" s="130">
        <f t="shared" si="60"/>
        <v>119324</v>
      </c>
      <c r="AG210" s="130">
        <f t="shared" si="60"/>
        <v>134694</v>
      </c>
      <c r="AH210" s="130">
        <f t="shared" si="60"/>
        <v>0</v>
      </c>
    </row>
    <row r="211" spans="1:34" ht="15.75" x14ac:dyDescent="0.25">
      <c r="A211" s="127" t="s">
        <v>12</v>
      </c>
      <c r="B211" s="128">
        <f t="shared" si="50"/>
        <v>13533</v>
      </c>
      <c r="C211" s="128">
        <f t="shared" si="50"/>
        <v>16391</v>
      </c>
      <c r="D211" s="128">
        <f t="shared" si="50"/>
        <v>21285</v>
      </c>
      <c r="E211" s="128">
        <f t="shared" ref="E211:AH211" si="61">+E129+E151+E169+E190</f>
        <v>25119</v>
      </c>
      <c r="F211" s="128">
        <f t="shared" si="61"/>
        <v>33788</v>
      </c>
      <c r="G211" s="128">
        <f t="shared" si="61"/>
        <v>38469</v>
      </c>
      <c r="H211" s="128">
        <f t="shared" si="61"/>
        <v>38678</v>
      </c>
      <c r="I211" s="128">
        <f t="shared" si="61"/>
        <v>41364</v>
      </c>
      <c r="J211" s="128">
        <f t="shared" si="61"/>
        <v>37936</v>
      </c>
      <c r="K211" s="128">
        <f t="shared" si="61"/>
        <v>36889</v>
      </c>
      <c r="L211" s="129">
        <f t="shared" si="61"/>
        <v>33254</v>
      </c>
      <c r="M211" s="129">
        <f t="shared" si="61"/>
        <v>38566</v>
      </c>
      <c r="N211" s="129">
        <f t="shared" si="61"/>
        <v>43822</v>
      </c>
      <c r="O211" s="128">
        <f t="shared" si="61"/>
        <v>49015</v>
      </c>
      <c r="P211" s="128">
        <f t="shared" si="61"/>
        <v>56013</v>
      </c>
      <c r="Q211" s="129">
        <f t="shared" si="61"/>
        <v>67053</v>
      </c>
      <c r="R211" s="129">
        <f t="shared" si="61"/>
        <v>71353</v>
      </c>
      <c r="S211" s="129">
        <f t="shared" si="61"/>
        <v>87828</v>
      </c>
      <c r="T211" s="128">
        <f t="shared" si="61"/>
        <v>90991</v>
      </c>
      <c r="U211" s="128">
        <f t="shared" si="61"/>
        <v>99648</v>
      </c>
      <c r="V211" s="129">
        <f t="shared" si="61"/>
        <v>111657</v>
      </c>
      <c r="W211" s="131">
        <f t="shared" si="61"/>
        <v>119658</v>
      </c>
      <c r="X211" s="129">
        <f t="shared" si="61"/>
        <v>132401</v>
      </c>
      <c r="Y211" s="128">
        <f t="shared" si="61"/>
        <v>129458</v>
      </c>
      <c r="Z211" s="128">
        <f t="shared" si="61"/>
        <v>138540</v>
      </c>
      <c r="AA211" s="128">
        <f t="shared" si="61"/>
        <v>147579</v>
      </c>
      <c r="AB211" s="128">
        <f t="shared" si="61"/>
        <v>159634</v>
      </c>
      <c r="AC211" s="130">
        <f t="shared" si="61"/>
        <v>177765</v>
      </c>
      <c r="AD211" s="130">
        <f t="shared" si="61"/>
        <v>197446</v>
      </c>
      <c r="AE211" s="130">
        <f t="shared" si="61"/>
        <v>69189</v>
      </c>
      <c r="AF211" s="130">
        <f t="shared" si="61"/>
        <v>131242</v>
      </c>
      <c r="AG211" s="130">
        <f t="shared" si="61"/>
        <v>167903</v>
      </c>
      <c r="AH211" s="130">
        <f t="shared" si="61"/>
        <v>0</v>
      </c>
    </row>
    <row r="212" spans="1:34" ht="16.5" thickBot="1" x14ac:dyDescent="0.3">
      <c r="A212" s="132" t="s">
        <v>13</v>
      </c>
      <c r="B212" s="133">
        <f t="shared" si="50"/>
        <v>155760</v>
      </c>
      <c r="C212" s="133">
        <f t="shared" si="50"/>
        <v>172117</v>
      </c>
      <c r="D212" s="133">
        <f t="shared" si="50"/>
        <v>205220</v>
      </c>
      <c r="E212" s="133">
        <f t="shared" ref="E212:AH212" si="62">+E130+E152+E170+E191</f>
        <v>259411</v>
      </c>
      <c r="F212" s="133">
        <f t="shared" si="62"/>
        <v>314143</v>
      </c>
      <c r="G212" s="133">
        <f t="shared" si="62"/>
        <v>377751</v>
      </c>
      <c r="H212" s="133">
        <f t="shared" si="62"/>
        <v>417446</v>
      </c>
      <c r="I212" s="133">
        <f t="shared" si="62"/>
        <v>445945</v>
      </c>
      <c r="J212" s="133">
        <f t="shared" si="62"/>
        <v>450229</v>
      </c>
      <c r="K212" s="133">
        <f t="shared" si="62"/>
        <v>436290</v>
      </c>
      <c r="L212" s="134">
        <f t="shared" si="62"/>
        <v>413316</v>
      </c>
      <c r="M212" s="134">
        <f t="shared" si="62"/>
        <v>422650</v>
      </c>
      <c r="N212" s="134">
        <f t="shared" si="62"/>
        <v>492839</v>
      </c>
      <c r="O212" s="134">
        <f t="shared" si="62"/>
        <v>543590</v>
      </c>
      <c r="P212" s="134">
        <f t="shared" si="62"/>
        <v>623884</v>
      </c>
      <c r="Q212" s="134">
        <f t="shared" si="62"/>
        <v>711645</v>
      </c>
      <c r="R212" s="135">
        <f t="shared" si="62"/>
        <v>841824</v>
      </c>
      <c r="S212" s="134">
        <f t="shared" si="62"/>
        <v>997937</v>
      </c>
      <c r="T212" s="133">
        <f t="shared" si="62"/>
        <v>996395</v>
      </c>
      <c r="U212" s="133">
        <f t="shared" si="62"/>
        <v>1110876</v>
      </c>
      <c r="V212" s="134">
        <f t="shared" si="62"/>
        <v>1166996</v>
      </c>
      <c r="W212" s="136">
        <f t="shared" si="62"/>
        <v>1342114</v>
      </c>
      <c r="X212" s="134">
        <f t="shared" si="62"/>
        <v>1464004</v>
      </c>
      <c r="Y212" s="134">
        <f t="shared" si="62"/>
        <v>1449837</v>
      </c>
      <c r="Z212" s="134">
        <f t="shared" si="62"/>
        <v>1520469</v>
      </c>
      <c r="AA212" s="134">
        <f t="shared" si="62"/>
        <v>1549519</v>
      </c>
      <c r="AB212" s="134">
        <f t="shared" si="62"/>
        <v>1644728</v>
      </c>
      <c r="AC212" s="134">
        <f t="shared" si="62"/>
        <v>1871423</v>
      </c>
      <c r="AD212" s="134">
        <f t="shared" si="62"/>
        <v>2008238</v>
      </c>
      <c r="AE212" s="142">
        <f t="shared" si="62"/>
        <v>622643</v>
      </c>
      <c r="AF212" s="142">
        <f t="shared" si="62"/>
        <v>1029571</v>
      </c>
      <c r="AG212" s="142">
        <f t="shared" si="62"/>
        <v>1705555</v>
      </c>
      <c r="AH212" s="142">
        <f t="shared" si="62"/>
        <v>1110975</v>
      </c>
    </row>
    <row r="213" spans="1:34" ht="15.75" thickTop="1" x14ac:dyDescent="0.25"/>
  </sheetData>
  <mergeCells count="24">
    <mergeCell ref="A175:R175"/>
    <mergeCell ref="A176:R176"/>
    <mergeCell ref="A135:Y135"/>
    <mergeCell ref="A136:Y136"/>
    <mergeCell ref="A138:A139"/>
    <mergeCell ref="B138:Z138"/>
    <mergeCell ref="A156:A157"/>
    <mergeCell ref="B156:Z156"/>
    <mergeCell ref="A196:R196"/>
    <mergeCell ref="A197:R197"/>
    <mergeCell ref="F2:O2"/>
    <mergeCell ref="B22:AA22"/>
    <mergeCell ref="B41:AA41"/>
    <mergeCell ref="H20:AC20"/>
    <mergeCell ref="A134:Y134"/>
    <mergeCell ref="A116:A117"/>
    <mergeCell ref="B116:AA116"/>
    <mergeCell ref="H76:O76"/>
    <mergeCell ref="A58:V58"/>
    <mergeCell ref="H3:U3"/>
    <mergeCell ref="A79:A80"/>
    <mergeCell ref="B79:AA79"/>
    <mergeCell ref="A98:A99"/>
    <mergeCell ref="B98:AA98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0"/>
  <sheetViews>
    <sheetView workbookViewId="0">
      <selection activeCell="A5" sqref="A5:L10"/>
    </sheetView>
  </sheetViews>
  <sheetFormatPr defaultRowHeight="15" x14ac:dyDescent="0.25"/>
  <cols>
    <col min="1" max="1" width="23.28515625" bestFit="1" customWidth="1"/>
  </cols>
  <sheetData>
    <row r="4" spans="1:12" ht="15.75" thickBot="1" x14ac:dyDescent="0.3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12" x14ac:dyDescent="0.25">
      <c r="A5" s="152" t="s">
        <v>74</v>
      </c>
      <c r="B5" s="153">
        <v>2012</v>
      </c>
      <c r="C5" s="153">
        <v>2013</v>
      </c>
      <c r="D5" s="153">
        <v>2014</v>
      </c>
      <c r="E5" s="153">
        <v>2015</v>
      </c>
      <c r="F5" s="153">
        <v>2016</v>
      </c>
      <c r="G5" s="153">
        <v>2017</v>
      </c>
      <c r="H5" s="153">
        <v>2018</v>
      </c>
      <c r="I5" s="153">
        <v>2019</v>
      </c>
      <c r="J5" s="153">
        <v>2020</v>
      </c>
      <c r="K5" s="153">
        <v>2021</v>
      </c>
      <c r="L5" s="154">
        <v>2022</v>
      </c>
    </row>
    <row r="6" spans="1:12" x14ac:dyDescent="0.25">
      <c r="A6" s="155" t="s">
        <v>71</v>
      </c>
      <c r="B6" s="150">
        <v>1238536</v>
      </c>
      <c r="C6" s="150">
        <v>1343963</v>
      </c>
      <c r="D6" s="150">
        <v>1332499</v>
      </c>
      <c r="E6" s="150">
        <v>1375144</v>
      </c>
      <c r="F6" s="150">
        <v>1401579</v>
      </c>
      <c r="G6" s="150">
        <v>1511237</v>
      </c>
      <c r="H6" s="150">
        <v>1670232</v>
      </c>
      <c r="I6" s="150">
        <v>1802107</v>
      </c>
      <c r="J6" s="150">
        <v>565541</v>
      </c>
      <c r="K6" s="150">
        <v>941688</v>
      </c>
      <c r="L6" s="156">
        <v>1574405</v>
      </c>
    </row>
    <row r="7" spans="1:12" x14ac:dyDescent="0.25">
      <c r="A7" s="155" t="s">
        <v>68</v>
      </c>
      <c r="B7" s="150">
        <v>13780</v>
      </c>
      <c r="C7" s="150">
        <v>25458</v>
      </c>
      <c r="D7" s="150">
        <v>22789</v>
      </c>
      <c r="E7" s="150">
        <v>14934</v>
      </c>
      <c r="F7" s="150">
        <v>14166</v>
      </c>
      <c r="G7" s="150">
        <v>18824</v>
      </c>
      <c r="H7" s="150">
        <v>26780</v>
      </c>
      <c r="I7" s="150">
        <v>27316</v>
      </c>
      <c r="J7" s="150">
        <v>6023</v>
      </c>
      <c r="K7" s="150">
        <v>8674</v>
      </c>
      <c r="L7" s="156">
        <v>20355</v>
      </c>
    </row>
    <row r="8" spans="1:12" x14ac:dyDescent="0.25">
      <c r="A8" s="155" t="s">
        <v>75</v>
      </c>
      <c r="B8" s="151">
        <v>22131.1764</v>
      </c>
      <c r="C8" s="151">
        <v>21823.633729999998</v>
      </c>
      <c r="D8" s="151">
        <v>20643.980960000001</v>
      </c>
      <c r="E8" s="151">
        <v>21789.109220000002</v>
      </c>
      <c r="F8" s="151">
        <v>20182</v>
      </c>
      <c r="G8" s="151">
        <v>21592.309999999998</v>
      </c>
      <c r="H8" s="151">
        <v>21689.43</v>
      </c>
      <c r="I8" s="151">
        <v>22642.181</v>
      </c>
      <c r="J8" s="151">
        <v>23048.040999999997</v>
      </c>
      <c r="K8" s="151">
        <v>25095.552499999998</v>
      </c>
      <c r="L8" s="157">
        <v>20098.018999999997</v>
      </c>
    </row>
    <row r="9" spans="1:12" x14ac:dyDescent="0.25">
      <c r="A9" s="155" t="s">
        <v>76</v>
      </c>
      <c r="B9" s="151">
        <v>33820.569000000003</v>
      </c>
      <c r="C9" s="151">
        <v>34129.883200000004</v>
      </c>
      <c r="D9" s="151">
        <v>32197.202400000002</v>
      </c>
      <c r="E9" s="151">
        <v>32660.314999999999</v>
      </c>
      <c r="F9" s="151">
        <v>39375.597000000002</v>
      </c>
      <c r="G9" s="151">
        <v>47711.565999999992</v>
      </c>
      <c r="H9" s="151">
        <v>41666.65</v>
      </c>
      <c r="I9" s="151">
        <v>42088.590000000004</v>
      </c>
      <c r="J9" s="151">
        <v>36672.206999999995</v>
      </c>
      <c r="K9" s="151">
        <v>39076.106999999989</v>
      </c>
      <c r="L9" s="157">
        <v>41156.741999999998</v>
      </c>
    </row>
    <row r="10" spans="1:12" ht="17.25" thickBot="1" x14ac:dyDescent="0.3">
      <c r="A10" s="158" t="s">
        <v>77</v>
      </c>
      <c r="B10" s="159">
        <v>30259</v>
      </c>
      <c r="C10" s="159">
        <v>30364</v>
      </c>
      <c r="D10" s="159">
        <v>26886</v>
      </c>
      <c r="E10" s="159">
        <v>27382</v>
      </c>
      <c r="F10" s="159">
        <v>28351</v>
      </c>
      <c r="G10" s="159">
        <v>29323</v>
      </c>
      <c r="H10" s="160">
        <v>32383</v>
      </c>
      <c r="I10" s="161">
        <v>32798</v>
      </c>
      <c r="J10" s="161">
        <v>14421</v>
      </c>
      <c r="K10" s="161">
        <v>21584</v>
      </c>
      <c r="L10" s="162">
        <v>28985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0"/>
  <sheetViews>
    <sheetView workbookViewId="0">
      <selection activeCell="K24" sqref="K24"/>
    </sheetView>
  </sheetViews>
  <sheetFormatPr defaultRowHeight="15" x14ac:dyDescent="0.25"/>
  <cols>
    <col min="1" max="1" width="17.42578125" bestFit="1" customWidth="1"/>
  </cols>
  <sheetData>
    <row r="3" spans="1:31" x14ac:dyDescent="0.25">
      <c r="A3" s="35"/>
      <c r="B3" s="35" t="s">
        <v>37</v>
      </c>
      <c r="C3" s="35" t="s">
        <v>38</v>
      </c>
      <c r="D3" s="35" t="s">
        <v>39</v>
      </c>
      <c r="E3" s="35" t="s">
        <v>40</v>
      </c>
      <c r="F3" s="35" t="s">
        <v>41</v>
      </c>
      <c r="G3" s="35" t="s">
        <v>42</v>
      </c>
      <c r="H3" s="35" t="s">
        <v>43</v>
      </c>
      <c r="I3" s="35" t="s">
        <v>44</v>
      </c>
      <c r="J3" s="35" t="s">
        <v>45</v>
      </c>
      <c r="K3" s="35" t="s">
        <v>46</v>
      </c>
      <c r="L3" s="35" t="s">
        <v>47</v>
      </c>
      <c r="M3" s="35" t="s">
        <v>48</v>
      </c>
      <c r="N3" s="35" t="s">
        <v>49</v>
      </c>
      <c r="O3" s="35" t="s">
        <v>50</v>
      </c>
      <c r="P3" s="35" t="s">
        <v>51</v>
      </c>
      <c r="Q3" s="35" t="s">
        <v>52</v>
      </c>
      <c r="R3" s="35" t="s">
        <v>53</v>
      </c>
      <c r="S3" s="35" t="s">
        <v>54</v>
      </c>
      <c r="T3" s="35" t="s">
        <v>55</v>
      </c>
      <c r="U3" s="35" t="s">
        <v>56</v>
      </c>
      <c r="V3" s="35" t="s">
        <v>57</v>
      </c>
      <c r="W3" s="35" t="s">
        <v>58</v>
      </c>
      <c r="X3" s="35" t="s">
        <v>59</v>
      </c>
      <c r="Y3" s="35" t="s">
        <v>60</v>
      </c>
      <c r="Z3" s="35" t="s">
        <v>61</v>
      </c>
      <c r="AA3" s="35" t="s">
        <v>62</v>
      </c>
      <c r="AB3" s="35" t="s">
        <v>63</v>
      </c>
      <c r="AC3" s="35" t="s">
        <v>64</v>
      </c>
      <c r="AD3" s="35" t="s">
        <v>65</v>
      </c>
      <c r="AE3" s="35" t="s">
        <v>66</v>
      </c>
    </row>
    <row r="4" spans="1:31" x14ac:dyDescent="0.25">
      <c r="A4" s="35" t="s">
        <v>73</v>
      </c>
      <c r="B4" s="35">
        <v>1754</v>
      </c>
      <c r="C4" s="35">
        <v>1800</v>
      </c>
      <c r="D4" s="35">
        <v>2098</v>
      </c>
      <c r="E4" s="35">
        <v>2542</v>
      </c>
      <c r="F4" s="35">
        <v>2736</v>
      </c>
      <c r="G4" s="35">
        <v>3107</v>
      </c>
      <c r="H4" s="35">
        <v>2592</v>
      </c>
      <c r="I4" s="35">
        <v>3104</v>
      </c>
      <c r="J4" s="35">
        <v>2821</v>
      </c>
      <c r="K4" s="35">
        <v>3037</v>
      </c>
      <c r="L4" s="35">
        <v>3117</v>
      </c>
      <c r="M4" s="35">
        <v>3207</v>
      </c>
      <c r="N4" s="35">
        <v>3443</v>
      </c>
      <c r="O4" s="35">
        <v>4395</v>
      </c>
      <c r="P4" s="35">
        <v>5997</v>
      </c>
      <c r="Q4" s="35">
        <v>6208</v>
      </c>
      <c r="R4" s="35">
        <v>7589</v>
      </c>
      <c r="S4" s="35">
        <v>8556</v>
      </c>
      <c r="T4" s="35">
        <v>8825</v>
      </c>
      <c r="U4" s="35">
        <v>10625</v>
      </c>
      <c r="V4" s="35">
        <v>13648</v>
      </c>
      <c r="W4" s="35">
        <v>13687</v>
      </c>
      <c r="X4" s="35">
        <v>14155</v>
      </c>
      <c r="Y4" s="35">
        <v>15168</v>
      </c>
      <c r="Z4" s="35">
        <v>14397</v>
      </c>
      <c r="AA4" s="35">
        <v>15679</v>
      </c>
      <c r="AB4" s="35">
        <v>15581</v>
      </c>
      <c r="AC4" s="35">
        <v>15732</v>
      </c>
      <c r="AD4" s="35">
        <v>12363</v>
      </c>
      <c r="AE4" s="35">
        <v>10564</v>
      </c>
    </row>
    <row r="5" spans="1:31" x14ac:dyDescent="0.25">
      <c r="A5" s="35" t="s">
        <v>67</v>
      </c>
      <c r="B5" s="35">
        <v>33535</v>
      </c>
      <c r="C5" s="35">
        <v>38508</v>
      </c>
      <c r="D5" s="35">
        <v>56946</v>
      </c>
      <c r="E5" s="35">
        <v>52884</v>
      </c>
      <c r="F5" s="35">
        <v>49356</v>
      </c>
      <c r="G5" s="35">
        <v>56591</v>
      </c>
      <c r="H5" s="35">
        <v>68763</v>
      </c>
      <c r="I5" s="35">
        <v>78630</v>
      </c>
      <c r="J5" s="35">
        <v>66792</v>
      </c>
      <c r="K5" s="35">
        <v>57427</v>
      </c>
      <c r="L5" s="35">
        <v>29208</v>
      </c>
      <c r="M5" s="35">
        <v>35324</v>
      </c>
      <c r="N5" s="35">
        <v>24978</v>
      </c>
      <c r="O5" s="35">
        <v>25407</v>
      </c>
      <c r="P5" s="35">
        <v>39783</v>
      </c>
      <c r="Q5" s="35">
        <v>38031</v>
      </c>
      <c r="R5" s="35">
        <v>31135</v>
      </c>
      <c r="S5" s="35">
        <v>46710</v>
      </c>
      <c r="T5" s="35">
        <v>55903</v>
      </c>
      <c r="U5" s="35">
        <v>80668</v>
      </c>
      <c r="V5" s="35">
        <v>77341</v>
      </c>
      <c r="W5" s="35">
        <v>91633</v>
      </c>
      <c r="X5" s="35">
        <v>95181</v>
      </c>
      <c r="Y5" s="35">
        <v>107016</v>
      </c>
      <c r="Z5" s="35">
        <v>140678</v>
      </c>
      <c r="AA5" s="35">
        <v>123498</v>
      </c>
      <c r="AB5" s="35">
        <v>122334</v>
      </c>
      <c r="AC5" s="35">
        <v>192892</v>
      </c>
      <c r="AD5" s="35">
        <v>133659</v>
      </c>
      <c r="AE5" s="35">
        <v>41310</v>
      </c>
    </row>
    <row r="6" spans="1:31" x14ac:dyDescent="0.25">
      <c r="A6" s="35" t="s">
        <v>72</v>
      </c>
      <c r="B6" s="35">
        <v>6379</v>
      </c>
      <c r="C6" s="35">
        <v>9035</v>
      </c>
      <c r="D6" s="35">
        <v>9284</v>
      </c>
      <c r="E6" s="35">
        <v>12391</v>
      </c>
      <c r="F6" s="35">
        <v>13407</v>
      </c>
      <c r="G6" s="35">
        <v>16015</v>
      </c>
      <c r="H6" s="35">
        <v>15945</v>
      </c>
      <c r="I6" s="35">
        <v>17797</v>
      </c>
      <c r="J6" s="35">
        <v>16588</v>
      </c>
      <c r="K6" s="35">
        <v>15971</v>
      </c>
      <c r="L6" s="35">
        <v>13500</v>
      </c>
      <c r="M6" s="35">
        <v>16064</v>
      </c>
      <c r="N6" s="35">
        <v>17523</v>
      </c>
      <c r="O6" s="35">
        <v>16703</v>
      </c>
      <c r="P6" s="35">
        <v>18161</v>
      </c>
      <c r="Q6" s="35">
        <v>21220</v>
      </c>
      <c r="R6" s="35">
        <v>23077</v>
      </c>
      <c r="S6" s="35">
        <v>22468</v>
      </c>
      <c r="T6" s="35">
        <v>21781</v>
      </c>
      <c r="U6" s="35">
        <v>24051</v>
      </c>
      <c r="V6" s="35">
        <v>27732</v>
      </c>
      <c r="W6" s="35">
        <v>29882</v>
      </c>
      <c r="X6" s="35">
        <v>30258</v>
      </c>
      <c r="Y6" s="35">
        <v>25583</v>
      </c>
      <c r="Z6" s="35">
        <v>28073</v>
      </c>
      <c r="AA6" s="35">
        <v>29159</v>
      </c>
      <c r="AB6" s="35">
        <v>29781</v>
      </c>
      <c r="AC6" s="35">
        <v>32743</v>
      </c>
      <c r="AD6" s="35">
        <v>26185</v>
      </c>
      <c r="AE6" s="35"/>
    </row>
    <row r="7" spans="1:31" x14ac:dyDescent="0.25">
      <c r="A7" s="35" t="s">
        <v>68</v>
      </c>
      <c r="B7" s="35">
        <f>+'EIA-TRAFFIC'!B173+'EIA-TRAFFIC'!B154</f>
        <v>0</v>
      </c>
      <c r="C7" s="35">
        <f>+'EIA-TRAFFIC'!C173+'EIA-TRAFFIC'!C154</f>
        <v>0</v>
      </c>
      <c r="D7" s="35">
        <f>+'EIA-TRAFFIC'!D173+'EIA-TRAFFIC'!D154</f>
        <v>0</v>
      </c>
      <c r="E7" s="35">
        <f>+'EIA-TRAFFIC'!E173+'EIA-TRAFFIC'!E154</f>
        <v>0</v>
      </c>
      <c r="F7" s="35">
        <f>+'EIA-TRAFFIC'!F173+'EIA-TRAFFIC'!F154</f>
        <v>0</v>
      </c>
      <c r="G7" s="35">
        <f>+'EIA-TRAFFIC'!G173+'EIA-TRAFFIC'!G154</f>
        <v>0</v>
      </c>
      <c r="H7" s="35">
        <f>+'EIA-TRAFFIC'!H173+'EIA-TRAFFIC'!H154</f>
        <v>0</v>
      </c>
      <c r="I7" s="35">
        <f>+'EIA-TRAFFIC'!I173+'EIA-TRAFFIC'!I154</f>
        <v>0</v>
      </c>
      <c r="J7" s="35">
        <f>+'EIA-TRAFFIC'!J173+'EIA-TRAFFIC'!J154</f>
        <v>0</v>
      </c>
      <c r="K7" s="35">
        <f>+'EIA-TRAFFIC'!K173+'EIA-TRAFFIC'!K154</f>
        <v>0</v>
      </c>
      <c r="L7" s="35">
        <f>+'EIA-TRAFFIC'!L173+'EIA-TRAFFIC'!L154</f>
        <v>0</v>
      </c>
      <c r="M7" s="35">
        <f>+'EIA-TRAFFIC'!M173+'EIA-TRAFFIC'!M154</f>
        <v>0</v>
      </c>
      <c r="N7" s="35">
        <f>+'EIA-TRAFFIC'!N173+'EIA-TRAFFIC'!N154</f>
        <v>0</v>
      </c>
      <c r="O7" s="35">
        <f>+'EIA-TRAFFIC'!O173+'EIA-TRAFFIC'!O154</f>
        <v>0</v>
      </c>
      <c r="P7" s="35">
        <f>+'EIA-TRAFFIC'!P173+'EIA-TRAFFIC'!P154</f>
        <v>0</v>
      </c>
      <c r="Q7" s="35">
        <f>+'EIA-TRAFFIC'!Q173+'EIA-TRAFFIC'!Q154</f>
        <v>0</v>
      </c>
      <c r="R7" s="35">
        <f>+'EIA-TRAFFIC'!R173+'EIA-TRAFFIC'!R154</f>
        <v>0</v>
      </c>
      <c r="S7" s="35">
        <f>+'EIA-TRAFFIC'!S173+'EIA-TRAFFIC'!S154</f>
        <v>0</v>
      </c>
      <c r="T7" s="35">
        <f>+'EIA-TRAFFIC'!T173+'EIA-TRAFFIC'!T154</f>
        <v>0</v>
      </c>
      <c r="U7" s="35">
        <f>+'EIA-TRAFFIC'!U173+'EIA-TRAFFIC'!U154</f>
        <v>0</v>
      </c>
      <c r="V7" s="35">
        <f>+'EIA-TRAFFIC'!V173+'EIA-TRAFFIC'!V154</f>
        <v>0</v>
      </c>
      <c r="W7" s="35">
        <f>+'EIA-TRAFFIC'!W173+'EIA-TRAFFIC'!W154</f>
        <v>0</v>
      </c>
      <c r="X7" s="35">
        <f>+'EIA-TRAFFIC'!X173+'EIA-TRAFFIC'!X154</f>
        <v>0</v>
      </c>
      <c r="Y7" s="35">
        <f>+'EIA-TRAFFIC'!Y173+'EIA-TRAFFIC'!Y154</f>
        <v>0</v>
      </c>
      <c r="Z7" s="35">
        <f>+'EIA-TRAFFIC'!Z173+'EIA-TRAFFIC'!Z154</f>
        <v>0</v>
      </c>
      <c r="AA7" s="35">
        <f>+'EIA-TRAFFIC'!AA173+'EIA-TRAFFIC'!AA154</f>
        <v>0</v>
      </c>
      <c r="AB7" s="35">
        <f>+'EIA-TRAFFIC'!AB173+'EIA-TRAFFIC'!AB154</f>
        <v>0</v>
      </c>
      <c r="AC7" s="35">
        <f>+'EIA-TRAFFIC'!AC173+'EIA-TRAFFIC'!AC154</f>
        <v>0</v>
      </c>
      <c r="AD7" s="35">
        <f>+'EIA-TRAFFIC'!AD173+'EIA-TRAFFIC'!AD154</f>
        <v>0</v>
      </c>
      <c r="AE7" s="35">
        <f>+'EIA-TRAFFIC'!AE173+'EIA-TRAFFIC'!AE154</f>
        <v>0</v>
      </c>
    </row>
    <row r="8" spans="1:31" x14ac:dyDescent="0.25">
      <c r="A8" s="35" t="s">
        <v>71</v>
      </c>
      <c r="B8" s="35">
        <v>121431</v>
      </c>
      <c r="C8" s="35">
        <v>137622</v>
      </c>
      <c r="D8" s="35">
        <v>164070</v>
      </c>
      <c r="E8" s="35">
        <v>221246</v>
      </c>
      <c r="F8" s="35">
        <v>277357</v>
      </c>
      <c r="G8" s="35">
        <v>315898</v>
      </c>
      <c r="H8" s="35">
        <v>334646</v>
      </c>
      <c r="I8" s="35">
        <v>334530</v>
      </c>
      <c r="J8" s="35">
        <v>347313</v>
      </c>
      <c r="K8" s="35">
        <v>341389</v>
      </c>
      <c r="L8" s="35">
        <v>348707</v>
      </c>
      <c r="M8" s="35">
        <v>390290</v>
      </c>
      <c r="N8" s="35">
        <v>437050</v>
      </c>
      <c r="O8" s="35">
        <v>515656</v>
      </c>
      <c r="P8" s="35">
        <v>581124</v>
      </c>
      <c r="Q8" s="35">
        <v>716683</v>
      </c>
      <c r="R8" s="35">
        <v>868473</v>
      </c>
      <c r="S8" s="35">
        <v>918559</v>
      </c>
      <c r="T8" s="35">
        <v>968348</v>
      </c>
      <c r="U8" s="35">
        <v>1048507</v>
      </c>
      <c r="V8" s="35">
        <v>1178730</v>
      </c>
      <c r="W8" s="35">
        <v>1292202</v>
      </c>
      <c r="X8" s="35">
        <v>1351058</v>
      </c>
      <c r="Y8" s="35">
        <v>1337261</v>
      </c>
      <c r="Z8" s="35">
        <v>1363484</v>
      </c>
      <c r="AA8" s="35">
        <v>1468176</v>
      </c>
      <c r="AB8" s="35">
        <v>1582670</v>
      </c>
      <c r="AC8" s="35">
        <v>1728783</v>
      </c>
      <c r="AD8" s="35">
        <v>1355772</v>
      </c>
      <c r="AE8" s="35">
        <v>580238</v>
      </c>
    </row>
    <row r="9" spans="1:31" x14ac:dyDescent="0.25">
      <c r="A9" s="35" t="s">
        <v>69</v>
      </c>
      <c r="B9" s="35">
        <v>4981</v>
      </c>
      <c r="C9" s="35">
        <v>5462</v>
      </c>
      <c r="D9" s="35">
        <v>8170</v>
      </c>
      <c r="E9" s="35">
        <v>11560</v>
      </c>
      <c r="F9" s="35">
        <v>11210</v>
      </c>
      <c r="G9" s="35">
        <v>13410</v>
      </c>
      <c r="H9" s="35">
        <v>15529</v>
      </c>
      <c r="I9" s="35">
        <v>16064.3874</v>
      </c>
      <c r="J9" s="35">
        <v>13607.6924</v>
      </c>
      <c r="K9" s="35">
        <v>14762.679582000001</v>
      </c>
      <c r="L9" s="35">
        <v>13392.8202</v>
      </c>
      <c r="M9" s="35">
        <v>12647.7467</v>
      </c>
      <c r="N9" s="35">
        <v>13598.660999999998</v>
      </c>
      <c r="O9" s="35">
        <v>14569.47</v>
      </c>
      <c r="P9" s="35">
        <v>14536.650730000001</v>
      </c>
      <c r="Q9" s="35">
        <v>16105.996110000002</v>
      </c>
      <c r="R9" s="35">
        <v>24922.19166</v>
      </c>
      <c r="S9" s="35">
        <v>20506.522799999999</v>
      </c>
      <c r="T9" s="35">
        <v>21184.737136</v>
      </c>
      <c r="U9" s="35">
        <v>20118.604969999997</v>
      </c>
      <c r="V9" s="35">
        <v>21407.8822</v>
      </c>
      <c r="W9" s="35">
        <v>21854.164499999995</v>
      </c>
      <c r="X9" s="35">
        <v>21763.571509999998</v>
      </c>
      <c r="Y9" s="35">
        <v>20746.51928</v>
      </c>
      <c r="Z9" s="35">
        <v>21490.216520000002</v>
      </c>
      <c r="AA9" s="35">
        <v>20317.310000000001</v>
      </c>
      <c r="AB9" s="35">
        <v>22498.681</v>
      </c>
      <c r="AC9" s="35">
        <v>20782.271000000001</v>
      </c>
      <c r="AD9" s="35">
        <v>22807.647000000004</v>
      </c>
      <c r="AE9" s="35">
        <v>25038.157999999999</v>
      </c>
    </row>
    <row r="10" spans="1:31" x14ac:dyDescent="0.25">
      <c r="A10" s="35" t="s">
        <v>70</v>
      </c>
      <c r="B10" s="35">
        <v>1545</v>
      </c>
      <c r="C10" s="35">
        <v>2131</v>
      </c>
      <c r="D10" s="35">
        <v>4206</v>
      </c>
      <c r="E10" s="35">
        <v>6207</v>
      </c>
      <c r="F10" s="35">
        <v>10786</v>
      </c>
      <c r="G10" s="35">
        <v>14484</v>
      </c>
      <c r="H10" s="35">
        <v>11401</v>
      </c>
      <c r="I10" s="35">
        <v>16274.654500000001</v>
      </c>
      <c r="J10" s="35">
        <v>8804.8565999999992</v>
      </c>
      <c r="K10" s="35">
        <v>18791.227999999999</v>
      </c>
      <c r="L10" s="35">
        <v>22548.747100000001</v>
      </c>
      <c r="M10" s="35">
        <v>21747.68765</v>
      </c>
      <c r="N10" s="35">
        <v>27748.542100000002</v>
      </c>
      <c r="O10" s="35">
        <v>37106.558449999997</v>
      </c>
      <c r="P10" s="35">
        <v>37417.785900000003</v>
      </c>
      <c r="Q10" s="35">
        <v>39756.374849999993</v>
      </c>
      <c r="R10" s="35">
        <v>40020.749190000002</v>
      </c>
      <c r="S10" s="35">
        <v>34203.083399999996</v>
      </c>
      <c r="T10" s="35">
        <v>29936.52648</v>
      </c>
      <c r="U10" s="35">
        <v>26546.175300000003</v>
      </c>
      <c r="V10" s="35">
        <v>31841.719400000002</v>
      </c>
      <c r="W10" s="35">
        <v>35512.156200000005</v>
      </c>
      <c r="X10" s="35">
        <v>32354.978499999997</v>
      </c>
      <c r="Y10" s="35">
        <v>31866.800399999996</v>
      </c>
      <c r="Z10" s="35">
        <v>35075.798000000003</v>
      </c>
      <c r="AA10" s="35">
        <v>45643.203999999991</v>
      </c>
      <c r="AB10" s="35">
        <v>45032.847000000009</v>
      </c>
      <c r="AC10" s="35">
        <v>41339.142999999996</v>
      </c>
      <c r="AD10" s="35">
        <v>37829.411999999997</v>
      </c>
      <c r="AE10" s="35">
        <v>38940.19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EIA-TRAFFIC</vt:lpstr>
      <vt:lpstr>Sheet1</vt:lpstr>
      <vt:lpstr>fy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Olipan</dc:creator>
  <cp:lastModifiedBy>Jonathan Olipan</cp:lastModifiedBy>
  <dcterms:created xsi:type="dcterms:W3CDTF">2016-08-04T09:37:11Z</dcterms:created>
  <dcterms:modified xsi:type="dcterms:W3CDTF">2023-08-10T10:14:57Z</dcterms:modified>
</cp:coreProperties>
</file>